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 activeTab="3"/>
  </bookViews>
  <sheets>
    <sheet name="P&amp;L" sheetId="5" r:id="rId1"/>
    <sheet name="Balance Sheet" sheetId="4" r:id="rId2"/>
    <sheet name="Cash Flow" sheetId="7" r:id="rId3"/>
    <sheet name="Presentation" sheetId="8" r:id="rId4"/>
    <sheet name="Cash" sheetId="1" r:id="rId5"/>
    <sheet name="Bar" sheetId="2" r:id="rId6"/>
    <sheet name="Accruals &amp; Prepayments" sheetId="3" r:id="rId7"/>
    <sheet name="Fixed Assets" sheetId="6" r:id="rId8"/>
  </sheets>
  <externalReferences>
    <externalReference r:id="rId9"/>
    <externalReference r:id="rId10"/>
    <externalReference r:id="rId11"/>
  </externalReferences>
  <definedNames>
    <definedName name="_xlnm.Print_Area" localSheetId="1">'Balance Sheet'!$A$1:$I$32</definedName>
    <definedName name="_xlnm.Print_Area" localSheetId="2">'Cash Flow'!$A$1:$I$44</definedName>
  </definedNames>
  <calcPr calcId="125725"/>
</workbook>
</file>

<file path=xl/calcChain.xml><?xml version="1.0" encoding="utf-8"?>
<calcChain xmlns="http://schemas.openxmlformats.org/spreadsheetml/2006/main">
  <c r="U4" i="8"/>
  <c r="J28"/>
  <c r="J24"/>
  <c r="J11"/>
  <c r="M22" l="1"/>
  <c r="M21"/>
  <c r="M20"/>
  <c r="M19"/>
  <c r="M18"/>
  <c r="M17"/>
  <c r="M16"/>
  <c r="M15"/>
  <c r="M14"/>
  <c r="M13"/>
  <c r="M23" s="1"/>
  <c r="M8"/>
  <c r="M6"/>
  <c r="M5"/>
  <c r="M4"/>
  <c r="F10" i="5"/>
  <c r="F16"/>
  <c r="C10" i="2"/>
  <c r="F17" i="5"/>
  <c r="E28"/>
  <c r="E8" i="3"/>
  <c r="E7"/>
  <c r="F19" i="5" s="1"/>
  <c r="R10" i="8" l="1"/>
  <c r="F18" i="7"/>
  <c r="E10"/>
  <c r="C10" i="3"/>
  <c r="F25" i="7"/>
  <c r="E29" i="5"/>
  <c r="F20"/>
  <c r="E15" i="6"/>
  <c r="E16"/>
  <c r="E7" i="2"/>
  <c r="D14" i="1" l="1"/>
  <c r="D12"/>
  <c r="D8"/>
  <c r="D4"/>
  <c r="M9" i="8" l="1"/>
  <c r="M10" s="1"/>
  <c r="E38" i="5"/>
  <c r="E37"/>
  <c r="E35"/>
  <c r="E34"/>
  <c r="E33"/>
  <c r="E32"/>
  <c r="E31"/>
  <c r="E30"/>
  <c r="E26"/>
  <c r="E25"/>
  <c r="E24"/>
  <c r="F18"/>
  <c r="F14"/>
  <c r="F11"/>
  <c r="G23" i="6"/>
  <c r="G22"/>
  <c r="G21"/>
  <c r="G20"/>
  <c r="H17"/>
  <c r="H16"/>
  <c r="H15"/>
  <c r="H14"/>
  <c r="H13"/>
  <c r="H10"/>
  <c r="H9"/>
  <c r="H8"/>
  <c r="H7"/>
  <c r="H6"/>
  <c r="E18" i="3"/>
  <c r="E17"/>
  <c r="E14"/>
  <c r="E19"/>
  <c r="E6"/>
  <c r="E27" i="5" s="1"/>
  <c r="I24" i="7"/>
  <c r="I23"/>
  <c r="I18"/>
  <c r="I16"/>
  <c r="H13"/>
  <c r="H12"/>
  <c r="H11"/>
  <c r="H10"/>
  <c r="H9"/>
  <c r="H8"/>
  <c r="L31" i="4"/>
  <c r="I31"/>
  <c r="L30"/>
  <c r="I30"/>
  <c r="K22"/>
  <c r="H22"/>
  <c r="K21"/>
  <c r="H21"/>
  <c r="K18"/>
  <c r="H18"/>
  <c r="K17"/>
  <c r="H17"/>
  <c r="K16"/>
  <c r="H16"/>
  <c r="K15"/>
  <c r="H15"/>
  <c r="L12"/>
  <c r="I12"/>
  <c r="L11"/>
  <c r="I11"/>
  <c r="L10"/>
  <c r="I10"/>
  <c r="L9"/>
  <c r="I9"/>
  <c r="L8"/>
  <c r="I8"/>
  <c r="H38" i="5"/>
  <c r="H37"/>
  <c r="H36"/>
  <c r="H35"/>
  <c r="H34"/>
  <c r="H33"/>
  <c r="H32"/>
  <c r="H31"/>
  <c r="H30"/>
  <c r="H29"/>
  <c r="H28"/>
  <c r="H27"/>
  <c r="H26"/>
  <c r="H25"/>
  <c r="H24"/>
  <c r="I20"/>
  <c r="I18"/>
  <c r="I17"/>
  <c r="I16"/>
  <c r="I15"/>
  <c r="I14"/>
  <c r="I13"/>
  <c r="I12"/>
  <c r="I11"/>
  <c r="I10"/>
  <c r="H16" i="1" l="1"/>
  <c r="F16"/>
  <c r="F11" i="4"/>
  <c r="F10"/>
  <c r="F9"/>
  <c r="F8"/>
  <c r="D22" i="6"/>
  <c r="D20"/>
  <c r="C20" i="3"/>
  <c r="R9" i="8" l="1"/>
  <c r="U9" s="1"/>
  <c r="R7"/>
  <c r="U7" s="1"/>
  <c r="R8"/>
  <c r="U8" s="1"/>
  <c r="R6"/>
  <c r="U6" s="1"/>
  <c r="R5"/>
  <c r="U5" s="1"/>
  <c r="D14"/>
  <c r="D6"/>
  <c r="G7"/>
  <c r="G8"/>
  <c r="G16"/>
  <c r="G21"/>
  <c r="E4" i="2"/>
  <c r="C5"/>
  <c r="G18" i="8"/>
  <c r="G4"/>
  <c r="G20"/>
  <c r="G5"/>
  <c r="E10" i="6"/>
  <c r="G14" i="8"/>
  <c r="G24" i="6"/>
  <c r="D24"/>
  <c r="D5" i="8"/>
  <c r="D21"/>
  <c r="D22"/>
  <c r="D20"/>
  <c r="D18"/>
  <c r="D15"/>
  <c r="D17"/>
  <c r="D16"/>
  <c r="D19"/>
  <c r="G22"/>
  <c r="G15"/>
  <c r="G17"/>
  <c r="G19"/>
  <c r="D8"/>
  <c r="D9"/>
  <c r="D4"/>
  <c r="G9"/>
  <c r="E20" i="3"/>
  <c r="E22" i="4"/>
  <c r="E23" s="1"/>
  <c r="E10" i="3"/>
  <c r="E17" i="4"/>
  <c r="F12"/>
  <c r="F13" s="1"/>
  <c r="E9" i="6"/>
  <c r="L32" i="4"/>
  <c r="K23"/>
  <c r="K19"/>
  <c r="F23" i="7"/>
  <c r="F24" s="1"/>
  <c r="E7" i="6"/>
  <c r="H23" i="4"/>
  <c r="H19"/>
  <c r="E15"/>
  <c r="G8" i="2"/>
  <c r="G10"/>
  <c r="H10" i="1"/>
  <c r="F10"/>
  <c r="H6"/>
  <c r="F6"/>
  <c r="F18" l="1"/>
  <c r="E18" i="4" s="1"/>
  <c r="G5" i="2"/>
  <c r="G12" s="1"/>
  <c r="F12" i="5" s="1"/>
  <c r="H18" i="1"/>
  <c r="D26" i="8"/>
  <c r="D7"/>
  <c r="M11"/>
  <c r="M24"/>
  <c r="H18" i="6"/>
  <c r="E11" i="7"/>
  <c r="I25"/>
  <c r="E12"/>
  <c r="E13"/>
  <c r="E6" i="6"/>
  <c r="E19" i="4"/>
  <c r="F25" s="1"/>
  <c r="I21" i="5"/>
  <c r="D11" i="8" s="1"/>
  <c r="L25" i="4"/>
  <c r="I25"/>
  <c r="D10" i="8" l="1"/>
  <c r="D13"/>
  <c r="F21" i="5"/>
  <c r="G11" i="8" s="1"/>
  <c r="G6"/>
  <c r="G26"/>
  <c r="M28"/>
  <c r="H11" i="6"/>
  <c r="L13" i="4"/>
  <c r="L27" s="1"/>
  <c r="R11" i="8" l="1"/>
  <c r="U11" s="1"/>
  <c r="U10"/>
  <c r="G10"/>
  <c r="E8" i="6"/>
  <c r="E11" s="1"/>
  <c r="I13" i="4"/>
  <c r="I27" s="1"/>
  <c r="F30" s="1"/>
  <c r="G26" i="6" l="1"/>
  <c r="H28" s="1"/>
  <c r="H30" s="1"/>
  <c r="I39" i="5"/>
  <c r="I41" l="1"/>
  <c r="D23" i="8"/>
  <c r="D24" s="1"/>
  <c r="D28" s="1"/>
  <c r="D30" s="1"/>
  <c r="I14" i="7"/>
  <c r="I20" s="1"/>
  <c r="I32" i="4"/>
  <c r="I34" s="1"/>
  <c r="F27"/>
  <c r="I46" i="7" l="1"/>
  <c r="I27"/>
  <c r="E36" i="5"/>
  <c r="E18" i="6"/>
  <c r="F16" i="7" s="1"/>
  <c r="D26" i="6" l="1"/>
  <c r="E28" s="1"/>
  <c r="F39" i="5"/>
  <c r="E9" i="7"/>
  <c r="G13" i="8"/>
  <c r="E30" i="6" l="1"/>
  <c r="G23" i="8"/>
  <c r="G24" s="1"/>
  <c r="G28" s="1"/>
  <c r="G30" s="1"/>
  <c r="F41" i="5"/>
  <c r="E31" i="6" l="1"/>
  <c r="E8" i="7"/>
  <c r="F14" s="1"/>
  <c r="F20" s="1"/>
  <c r="F27" s="1"/>
  <c r="F31" i="4"/>
  <c r="F32" s="1"/>
  <c r="F34" s="1"/>
  <c r="F46" i="7" l="1"/>
</calcChain>
</file>

<file path=xl/sharedStrings.xml><?xml version="1.0" encoding="utf-8"?>
<sst xmlns="http://schemas.openxmlformats.org/spreadsheetml/2006/main" count="198" uniqueCount="123">
  <si>
    <t>Bank</t>
  </si>
  <si>
    <t>Opening Cash</t>
  </si>
  <si>
    <t>Closing Cash</t>
  </si>
  <si>
    <t>Balance</t>
  </si>
  <si>
    <t>To Balance Sheet</t>
  </si>
  <si>
    <t>To Cash Flow</t>
  </si>
  <si>
    <t>Safe</t>
  </si>
  <si>
    <t>Bar</t>
  </si>
  <si>
    <t>Opening Till</t>
  </si>
  <si>
    <t>Closing Till</t>
  </si>
  <si>
    <t>Cash Held Opening</t>
  </si>
  <si>
    <t>Cash Held Closing</t>
  </si>
  <si>
    <t>Total Cash</t>
  </si>
  <si>
    <t>Profit</t>
  </si>
  <si>
    <t>Opening Stock</t>
  </si>
  <si>
    <t>Closing Stock</t>
  </si>
  <si>
    <t>Income</t>
  </si>
  <si>
    <t>Expenditure</t>
  </si>
  <si>
    <t>Contribution</t>
  </si>
  <si>
    <t>Bar Profit</t>
  </si>
  <si>
    <t>As at 31st December 2013</t>
  </si>
  <si>
    <t>£</t>
  </si>
  <si>
    <t>Fixed Assets</t>
  </si>
  <si>
    <t>Boats</t>
  </si>
  <si>
    <t>Blades</t>
  </si>
  <si>
    <t>Equipment</t>
  </si>
  <si>
    <t>Premises</t>
  </si>
  <si>
    <t>Current Assets</t>
  </si>
  <si>
    <t>Bar Stock</t>
  </si>
  <si>
    <t>Clothing Stock</t>
  </si>
  <si>
    <t>Debtors &amp; Prepayments</t>
  </si>
  <si>
    <t>Cash at Bank &amp; in Hand</t>
  </si>
  <si>
    <t>Current Liabilities</t>
  </si>
  <si>
    <t>Refundable Deposits</t>
  </si>
  <si>
    <t>Creditors and Accruals</t>
  </si>
  <si>
    <t>Net Current Assets / (Liabilites)</t>
  </si>
  <si>
    <t>NET ASSETS</t>
  </si>
  <si>
    <t>ACCUMULATED RESERVES</t>
  </si>
  <si>
    <t>Balance Brought Forward</t>
  </si>
  <si>
    <t>Excess / (Deficit) for the Year</t>
  </si>
  <si>
    <t>Balance Carried Forward</t>
  </si>
  <si>
    <t>Check</t>
  </si>
  <si>
    <t>Land</t>
  </si>
  <si>
    <t>Creditors &amp; Accruals</t>
  </si>
  <si>
    <t>Hedge Cutting</t>
  </si>
  <si>
    <t>Year Ended 31st December 2013</t>
  </si>
  <si>
    <t>Subscriptions</t>
  </si>
  <si>
    <t>Profit / (Loss) on Clothing Sales</t>
  </si>
  <si>
    <t>Rent</t>
  </si>
  <si>
    <t>Insurance Payments</t>
  </si>
  <si>
    <t>Profit / (Loss) on Social Functions</t>
  </si>
  <si>
    <t>Racking Fees</t>
  </si>
  <si>
    <t>Craft Licences</t>
  </si>
  <si>
    <t>Equipment Maintenance</t>
  </si>
  <si>
    <t>Equipment Repairs</t>
  </si>
  <si>
    <t>British Rowing Affiliation</t>
  </si>
  <si>
    <t>Insurance Premiums</t>
  </si>
  <si>
    <t>Premises Maintenance</t>
  </si>
  <si>
    <t>Electricity</t>
  </si>
  <si>
    <t>Water</t>
  </si>
  <si>
    <t>Rates</t>
  </si>
  <si>
    <t>Cleaning</t>
  </si>
  <si>
    <t>Depreciation</t>
  </si>
  <si>
    <t>Coaching &amp; Rowing</t>
  </si>
  <si>
    <t>Miscellaneous</t>
  </si>
  <si>
    <t>Excess / (Deficit) of Income over Expenditure</t>
  </si>
  <si>
    <t>Other Income</t>
  </si>
  <si>
    <t>Telephone &amp; TV</t>
  </si>
  <si>
    <t>Additions</t>
  </si>
  <si>
    <t>Disposals</t>
  </si>
  <si>
    <t>Profit / (Loss) on Sale of Fixed Assets</t>
  </si>
  <si>
    <t>Brought Forward</t>
  </si>
  <si>
    <t>Cash From Operating Activities</t>
  </si>
  <si>
    <t>Change in Stock</t>
  </si>
  <si>
    <t>Change in Debtors</t>
  </si>
  <si>
    <t>Change in Creditors</t>
  </si>
  <si>
    <t>Cash to acquire Fixed Assets</t>
  </si>
  <si>
    <t>Cash from disposal of Fixed Assets</t>
  </si>
  <si>
    <t>Net Cash Flow</t>
  </si>
  <si>
    <t>(Profit) / Loss on Disposal of Fixed Assets</t>
  </si>
  <si>
    <t>Note</t>
  </si>
  <si>
    <t>Donations, Grants &amp; Fundraising</t>
  </si>
  <si>
    <t>Guildford Rowing Club: Financial Statements</t>
  </si>
  <si>
    <t>Subscriptions &amp; Racking Fees</t>
  </si>
  <si>
    <t>Social Fuctions</t>
  </si>
  <si>
    <t>Other</t>
  </si>
  <si>
    <t>Equipment Purchases</t>
  </si>
  <si>
    <t>Land &amp; Buildings Purchases</t>
  </si>
  <si>
    <t>Money In</t>
  </si>
  <si>
    <t>Licenses &amp; Affiliation</t>
  </si>
  <si>
    <t>Other Utilities</t>
  </si>
  <si>
    <t>Sales of Equipment</t>
  </si>
  <si>
    <t>Money Out</t>
  </si>
  <si>
    <t>Adjustments for Non-Cash Items</t>
  </si>
  <si>
    <t>Cash Increase/(Loss) for the Year</t>
  </si>
  <si>
    <t>Cost/Member</t>
  </si>
  <si>
    <t>Auditor's Statement</t>
  </si>
  <si>
    <t>I have carried out a check of the entries and cash balances and found all to be correct.  In my opinion these</t>
  </si>
  <si>
    <t>accounts are a true and fair reflection of the financial position of Guildford Rowing Club as at 31st</t>
  </si>
  <si>
    <t>Signed:</t>
  </si>
  <si>
    <t>Matthew Hurst</t>
  </si>
  <si>
    <t>Year Ended 31st December 2014</t>
  </si>
  <si>
    <t>As at 31st December 2014</t>
  </si>
  <si>
    <t>Boat Racking</t>
  </si>
  <si>
    <t>3x Sculls Pairs</t>
  </si>
  <si>
    <t>2015 Liability Insurance</t>
  </si>
  <si>
    <t>Pantomime Uncashed</t>
  </si>
  <si>
    <t>2015 Budget</t>
  </si>
  <si>
    <t>Year Ended 31st December 2015</t>
  </si>
  <si>
    <t>Balance Sheet as at 31st December 2015</t>
  </si>
  <si>
    <t>As at 31st December 2015</t>
  </si>
  <si>
    <t>Deposit on three 1x</t>
  </si>
  <si>
    <t>Electricity December 2015</t>
  </si>
  <si>
    <t>Regatta Account</t>
  </si>
  <si>
    <t>Income and Expenditure Account - 2015</t>
  </si>
  <si>
    <t>Grants</t>
  </si>
  <si>
    <t>Donations &amp; Fundraising</t>
  </si>
  <si>
    <t>BR Affiliation Q1</t>
  </si>
  <si>
    <t>Cash Flow Statement - 2015</t>
  </si>
  <si>
    <t>December 2015.</t>
  </si>
  <si>
    <t>2016 Budget</t>
  </si>
  <si>
    <t>Equipment Depreciation</t>
  </si>
  <si>
    <t>10th March 2016</t>
  </si>
</sst>
</file>

<file path=xl/styles.xml><?xml version="1.0" encoding="utf-8"?>
<styleSheet xmlns="http://schemas.openxmlformats.org/spreadsheetml/2006/main">
  <numFmts count="2">
    <numFmt numFmtId="164" formatCode="&quot;£&quot;#,##0.00"/>
    <numFmt numFmtId="165" formatCode="&quot;£&quot;#,##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28C0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ck">
        <color theme="0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/>
    </xf>
    <xf numFmtId="3" fontId="0" fillId="0" borderId="0" xfId="0" applyNumberFormat="1"/>
    <xf numFmtId="3" fontId="0" fillId="0" borderId="1" xfId="0" applyNumberFormat="1" applyBorder="1"/>
    <xf numFmtId="3" fontId="1" fillId="0" borderId="0" xfId="0" applyNumberFormat="1" applyFont="1"/>
    <xf numFmtId="3" fontId="1" fillId="0" borderId="2" xfId="0" applyNumberFormat="1" applyFont="1" applyBorder="1"/>
    <xf numFmtId="0" fontId="2" fillId="0" borderId="0" xfId="0" applyFont="1"/>
    <xf numFmtId="3" fontId="2" fillId="0" borderId="0" xfId="0" applyNumberFormat="1" applyFont="1"/>
    <xf numFmtId="4" fontId="2" fillId="0" borderId="0" xfId="0" applyNumberFormat="1" applyFont="1"/>
    <xf numFmtId="0" fontId="0" fillId="0" borderId="0" xfId="0" applyBorder="1"/>
    <xf numFmtId="3" fontId="0" fillId="0" borderId="0" xfId="0" applyNumberFormat="1" applyBorder="1"/>
    <xf numFmtId="4" fontId="0" fillId="0" borderId="2" xfId="0" applyNumberFormat="1" applyFill="1" applyBorder="1"/>
    <xf numFmtId="3" fontId="0" fillId="0" borderId="2" xfId="0" applyNumberFormat="1" applyBorder="1"/>
    <xf numFmtId="3" fontId="0" fillId="0" borderId="0" xfId="0" applyNumberFormat="1" applyFill="1"/>
    <xf numFmtId="3" fontId="0" fillId="0" borderId="0" xfId="0" applyNumberFormat="1" applyFill="1" applyBorder="1"/>
    <xf numFmtId="3" fontId="0" fillId="0" borderId="1" xfId="0" applyNumberFormat="1" applyFill="1" applyBorder="1"/>
    <xf numFmtId="4" fontId="0" fillId="0" borderId="0" xfId="0" applyNumberFormat="1" applyFill="1"/>
    <xf numFmtId="4" fontId="0" fillId="0" borderId="1" xfId="0" applyNumberFormat="1" applyFill="1" applyBorder="1"/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1" fillId="0" borderId="0" xfId="0" applyFont="1" applyFill="1"/>
    <xf numFmtId="0" fontId="0" fillId="0" borderId="0" xfId="0" applyFill="1"/>
    <xf numFmtId="0" fontId="0" fillId="0" borderId="0" xfId="0" applyFill="1" applyBorder="1"/>
    <xf numFmtId="3" fontId="1" fillId="0" borderId="0" xfId="0" applyNumberFormat="1" applyFont="1" applyFill="1"/>
    <xf numFmtId="3" fontId="1" fillId="0" borderId="2" xfId="0" applyNumberFormat="1" applyFont="1" applyFill="1" applyBorder="1"/>
    <xf numFmtId="0" fontId="2" fillId="0" borderId="0" xfId="0" applyFont="1" applyFill="1"/>
    <xf numFmtId="3" fontId="2" fillId="0" borderId="0" xfId="0" applyNumberFormat="1" applyFont="1" applyFill="1"/>
    <xf numFmtId="4" fontId="2" fillId="0" borderId="0" xfId="0" applyNumberFormat="1" applyFont="1" applyFill="1"/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 applyFill="1"/>
    <xf numFmtId="4" fontId="1" fillId="0" borderId="2" xfId="0" applyNumberFormat="1" applyFont="1" applyFill="1" applyBorder="1"/>
    <xf numFmtId="0" fontId="1" fillId="0" borderId="0" xfId="0" applyFont="1" applyFill="1" applyAlignment="1">
      <alignment horizontal="center" wrapText="1"/>
    </xf>
    <xf numFmtId="4" fontId="1" fillId="0" borderId="0" xfId="0" applyNumberFormat="1" applyFont="1" applyFill="1" applyAlignment="1">
      <alignment horizontal="center" wrapText="1"/>
    </xf>
    <xf numFmtId="3" fontId="1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wrapText="1"/>
    </xf>
    <xf numFmtId="3" fontId="0" fillId="0" borderId="2" xfId="0" applyNumberFormat="1" applyFill="1" applyBorder="1"/>
    <xf numFmtId="0" fontId="3" fillId="0" borderId="0" xfId="0" applyFont="1" applyFill="1" applyAlignment="1">
      <alignment horizontal="centerContinuous"/>
    </xf>
    <xf numFmtId="3" fontId="3" fillId="0" borderId="0" xfId="0" applyNumberFormat="1" applyFont="1" applyFill="1" applyAlignment="1">
      <alignment horizontal="centerContinuous"/>
    </xf>
    <xf numFmtId="0" fontId="3" fillId="0" borderId="0" xfId="0" applyFont="1"/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" fontId="0" fillId="0" borderId="0" xfId="0" applyNumberFormat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1" fillId="2" borderId="0" xfId="0" applyFont="1" applyFill="1"/>
    <xf numFmtId="0" fontId="0" fillId="2" borderId="0" xfId="0" applyFill="1"/>
    <xf numFmtId="3" fontId="0" fillId="2" borderId="0" xfId="0" applyNumberFormat="1" applyFill="1"/>
    <xf numFmtId="3" fontId="0" fillId="2" borderId="1" xfId="0" applyNumberFormat="1" applyFill="1" applyBorder="1"/>
    <xf numFmtId="3" fontId="1" fillId="2" borderId="0" xfId="0" applyNumberFormat="1" applyFont="1" applyFill="1"/>
    <xf numFmtId="3" fontId="1" fillId="2" borderId="3" xfId="0" applyNumberFormat="1" applyFont="1" applyFill="1" applyBorder="1"/>
    <xf numFmtId="0" fontId="7" fillId="3" borderId="0" xfId="0" applyFont="1" applyFill="1" applyAlignment="1">
      <alignment horizontal="center"/>
    </xf>
    <xf numFmtId="0" fontId="5" fillId="3" borderId="0" xfId="0" applyFont="1" applyFill="1"/>
    <xf numFmtId="3" fontId="5" fillId="3" borderId="0" xfId="0" applyNumberFormat="1" applyFont="1" applyFill="1"/>
    <xf numFmtId="3" fontId="5" fillId="3" borderId="4" xfId="0" applyNumberFormat="1" applyFont="1" applyFill="1" applyBorder="1"/>
    <xf numFmtId="3" fontId="4" fillId="3" borderId="0" xfId="0" applyNumberFormat="1" applyFont="1" applyFill="1"/>
    <xf numFmtId="3" fontId="4" fillId="3" borderId="5" xfId="0" applyNumberFormat="1" applyFont="1" applyFill="1" applyBorder="1"/>
    <xf numFmtId="0" fontId="0" fillId="3" borderId="0" xfId="0" applyFill="1"/>
    <xf numFmtId="164" fontId="0" fillId="2" borderId="0" xfId="0" applyNumberFormat="1" applyFill="1"/>
    <xf numFmtId="165" fontId="5" fillId="3" borderId="0" xfId="0" applyNumberFormat="1" applyFont="1" applyFill="1"/>
    <xf numFmtId="165" fontId="5" fillId="3" borderId="4" xfId="0" applyNumberFormat="1" applyFont="1" applyFill="1" applyBorder="1"/>
    <xf numFmtId="165" fontId="4" fillId="3" borderId="0" xfId="0" applyNumberFormat="1" applyFont="1" applyFill="1"/>
    <xf numFmtId="164" fontId="1" fillId="2" borderId="0" xfId="0" applyNumberFormat="1" applyFont="1" applyFill="1"/>
    <xf numFmtId="164" fontId="0" fillId="2" borderId="1" xfId="0" applyNumberFormat="1" applyFill="1" applyBorder="1"/>
    <xf numFmtId="3" fontId="5" fillId="3" borderId="0" xfId="0" applyNumberFormat="1" applyFont="1" applyFill="1" applyBorder="1"/>
    <xf numFmtId="3" fontId="4" fillId="3" borderId="0" xfId="0" applyNumberFormat="1" applyFont="1" applyFill="1" applyBorder="1"/>
    <xf numFmtId="3" fontId="0" fillId="2" borderId="0" xfId="0" applyNumberFormat="1" applyFill="1" applyBorder="1"/>
    <xf numFmtId="3" fontId="1" fillId="2" borderId="0" xfId="0" applyNumberFormat="1" applyFont="1" applyFill="1" applyBorder="1"/>
    <xf numFmtId="165" fontId="5" fillId="3" borderId="0" xfId="0" applyNumberFormat="1" applyFont="1" applyFill="1" applyBorder="1"/>
    <xf numFmtId="0" fontId="6" fillId="2" borderId="0" xfId="0" applyFont="1" applyFill="1" applyAlignment="1"/>
    <xf numFmtId="0" fontId="7" fillId="3" borderId="0" xfId="0" applyFont="1" applyFill="1" applyAlignment="1"/>
    <xf numFmtId="0" fontId="0" fillId="2" borderId="0" xfId="0" applyFill="1" applyAlignment="1"/>
    <xf numFmtId="0" fontId="0" fillId="0" borderId="1" xfId="0" applyBorder="1"/>
    <xf numFmtId="0" fontId="0" fillId="0" borderId="0" xfId="0" applyAlignment="1">
      <alignment horizontal="left"/>
    </xf>
    <xf numFmtId="14" fontId="0" fillId="0" borderId="0" xfId="0" applyNumberFormat="1" applyFill="1"/>
    <xf numFmtId="4" fontId="0" fillId="4" borderId="0" xfId="0" applyNumberFormat="1" applyFill="1"/>
    <xf numFmtId="0" fontId="8" fillId="0" borderId="0" xfId="0" applyFont="1"/>
    <xf numFmtId="3" fontId="8" fillId="0" borderId="0" xfId="0" applyNumberFormat="1" applyFont="1"/>
    <xf numFmtId="4" fontId="8" fillId="0" borderId="0" xfId="0" applyNumberFormat="1" applyFont="1"/>
    <xf numFmtId="0" fontId="9" fillId="0" borderId="0" xfId="0" applyFont="1"/>
    <xf numFmtId="3" fontId="9" fillId="0" borderId="0" xfId="0" applyNumberFormat="1" applyFont="1"/>
    <xf numFmtId="3" fontId="9" fillId="0" borderId="0" xfId="0" applyNumberFormat="1" applyFont="1" applyBorder="1"/>
    <xf numFmtId="3" fontId="1" fillId="0" borderId="0" xfId="0" applyNumberFormat="1" applyFont="1" applyFill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28C02"/>
      <color rgb="FF02A002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5%20Quick%20Accoun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onie/Documents/Accounts/Guildford%20Rowing%20Club/2014/2014%20Year-End%20account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GRC%20Asset%20Register%20Dec%2020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uary 2015"/>
      <sheetName val="August 2015"/>
      <sheetName val="September 2015"/>
      <sheetName val="October 2015"/>
      <sheetName val="November 2015"/>
      <sheetName val="December 2015"/>
      <sheetName val="Budget 2016"/>
    </sheetNames>
    <sheetDataSet>
      <sheetData sheetId="0"/>
      <sheetData sheetId="1"/>
      <sheetData sheetId="2"/>
      <sheetData sheetId="3"/>
      <sheetData sheetId="4"/>
      <sheetData sheetId="5">
        <row r="4">
          <cell r="G4">
            <v>3852.29</v>
          </cell>
        </row>
        <row r="5">
          <cell r="G5">
            <v>844.2</v>
          </cell>
        </row>
        <row r="6">
          <cell r="G6">
            <v>1209.3</v>
          </cell>
        </row>
        <row r="7">
          <cell r="G7">
            <v>1686</v>
          </cell>
        </row>
        <row r="8">
          <cell r="G8">
            <v>4503.57</v>
          </cell>
        </row>
        <row r="10">
          <cell r="G10">
            <v>862.3</v>
          </cell>
        </row>
        <row r="11">
          <cell r="G11">
            <v>2679.48</v>
          </cell>
        </row>
        <row r="12">
          <cell r="G12">
            <v>449.34</v>
          </cell>
        </row>
        <row r="13">
          <cell r="G13">
            <v>585.86</v>
          </cell>
        </row>
        <row r="14">
          <cell r="G14">
            <v>290.87</v>
          </cell>
        </row>
        <row r="15">
          <cell r="G15">
            <v>15</v>
          </cell>
        </row>
        <row r="16">
          <cell r="G16">
            <v>1663.74</v>
          </cell>
        </row>
        <row r="17">
          <cell r="G17">
            <v>887.77</v>
          </cell>
        </row>
        <row r="18">
          <cell r="G18">
            <v>29.09</v>
          </cell>
        </row>
        <row r="19">
          <cell r="G19">
            <v>616.57000000000005</v>
          </cell>
        </row>
        <row r="23">
          <cell r="G23">
            <v>39654.76</v>
          </cell>
        </row>
        <row r="24">
          <cell r="G24">
            <v>308.358</v>
          </cell>
        </row>
        <row r="25">
          <cell r="G25">
            <v>500</v>
          </cell>
        </row>
        <row r="27">
          <cell r="G27">
            <v>1557</v>
          </cell>
        </row>
        <row r="28">
          <cell r="G28">
            <v>9430.5</v>
          </cell>
        </row>
        <row r="29">
          <cell r="G29">
            <v>9331.35</v>
          </cell>
        </row>
        <row r="30">
          <cell r="G30">
            <v>1331.29</v>
          </cell>
        </row>
        <row r="31">
          <cell r="G31">
            <v>650</v>
          </cell>
        </row>
      </sheetData>
      <sheetData sheetId="6">
        <row r="3">
          <cell r="I3">
            <v>19000</v>
          </cell>
        </row>
        <row r="4">
          <cell r="I4">
            <v>2000</v>
          </cell>
        </row>
        <row r="5">
          <cell r="I5">
            <v>1000</v>
          </cell>
        </row>
        <row r="6">
          <cell r="I6">
            <v>1300</v>
          </cell>
        </row>
        <row r="7">
          <cell r="I7">
            <v>2000</v>
          </cell>
        </row>
        <row r="8">
          <cell r="I8">
            <v>4650</v>
          </cell>
        </row>
        <row r="9">
          <cell r="I9">
            <v>20000</v>
          </cell>
        </row>
        <row r="10">
          <cell r="I10">
            <v>1000</v>
          </cell>
        </row>
        <row r="11">
          <cell r="I11">
            <v>2500</v>
          </cell>
        </row>
        <row r="12">
          <cell r="I12">
            <v>575</v>
          </cell>
        </row>
        <row r="13">
          <cell r="I13">
            <v>650</v>
          </cell>
        </row>
        <row r="14">
          <cell r="I14">
            <v>300</v>
          </cell>
        </row>
        <row r="16">
          <cell r="I16">
            <v>1600</v>
          </cell>
        </row>
        <row r="20">
          <cell r="I20">
            <v>58085</v>
          </cell>
        </row>
        <row r="23">
          <cell r="I23">
            <v>40595</v>
          </cell>
        </row>
        <row r="24">
          <cell r="I24">
            <v>1000</v>
          </cell>
        </row>
        <row r="25">
          <cell r="G25">
            <v>500</v>
          </cell>
        </row>
        <row r="27">
          <cell r="I27">
            <v>1740</v>
          </cell>
        </row>
        <row r="28">
          <cell r="I28">
            <v>50000</v>
          </cell>
        </row>
        <row r="30">
          <cell r="I30">
            <v>2000</v>
          </cell>
        </row>
        <row r="33">
          <cell r="I33">
            <v>96835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&amp;L"/>
      <sheetName val="Balance Sheet"/>
      <sheetName val="Cash Flow"/>
      <sheetName val="Presentation"/>
      <sheetName val="Cash"/>
      <sheetName val="Bar"/>
      <sheetName val="Accruals &amp; Prepayments"/>
      <sheetName val="Fixed Assets"/>
    </sheetNames>
    <sheetDataSet>
      <sheetData sheetId="0">
        <row r="10">
          <cell r="F10">
            <v>37929.82</v>
          </cell>
        </row>
        <row r="11">
          <cell r="F11">
            <v>1555</v>
          </cell>
        </row>
        <row r="12">
          <cell r="F12">
            <v>1224.23</v>
          </cell>
        </row>
        <row r="13">
          <cell r="F13">
            <v>0</v>
          </cell>
        </row>
        <row r="14">
          <cell r="F14">
            <v>500</v>
          </cell>
        </row>
        <row r="15">
          <cell r="F15">
            <v>4000</v>
          </cell>
        </row>
        <row r="16">
          <cell r="F16">
            <v>1675.84</v>
          </cell>
        </row>
        <row r="17">
          <cell r="F17">
            <v>-2997.37</v>
          </cell>
        </row>
        <row r="18">
          <cell r="F18">
            <v>6881.5300000000007</v>
          </cell>
        </row>
        <row r="19">
          <cell r="F19">
            <v>0</v>
          </cell>
        </row>
        <row r="23">
          <cell r="E23">
            <v>1089</v>
          </cell>
        </row>
        <row r="24">
          <cell r="E24">
            <v>3298.48</v>
          </cell>
        </row>
        <row r="25">
          <cell r="E25">
            <v>965.28</v>
          </cell>
        </row>
        <row r="26">
          <cell r="E26">
            <v>1571.08</v>
          </cell>
        </row>
        <row r="27">
          <cell r="E27">
            <v>4117.4799999999996</v>
          </cell>
        </row>
        <row r="28">
          <cell r="E28">
            <v>5380.35</v>
          </cell>
        </row>
        <row r="29">
          <cell r="E29">
            <v>2751.17</v>
          </cell>
        </row>
        <row r="30">
          <cell r="E30">
            <v>303.27999999999997</v>
          </cell>
        </row>
        <row r="31">
          <cell r="E31">
            <v>482.26</v>
          </cell>
        </row>
        <row r="32">
          <cell r="E32">
            <v>284.38</v>
          </cell>
        </row>
        <row r="33">
          <cell r="E33">
            <v>402.9</v>
          </cell>
        </row>
        <row r="34">
          <cell r="E34">
            <v>1863.36</v>
          </cell>
        </row>
        <row r="35">
          <cell r="E35">
            <v>28853.796555555513</v>
          </cell>
        </row>
        <row r="36">
          <cell r="E36">
            <v>657.65</v>
          </cell>
        </row>
        <row r="37">
          <cell r="E37">
            <v>678.11</v>
          </cell>
        </row>
      </sheetData>
      <sheetData sheetId="1">
        <row r="8">
          <cell r="F8">
            <v>67579.167416666663</v>
          </cell>
          <cell r="I8">
            <v>78441.627749999985</v>
          </cell>
        </row>
        <row r="9">
          <cell r="F9">
            <v>11805.434666666666</v>
          </cell>
          <cell r="I9">
            <v>13139.342666666664</v>
          </cell>
        </row>
        <row r="10">
          <cell r="F10">
            <v>5755.9570833333337</v>
          </cell>
          <cell r="I10">
            <v>6695.5943055555535</v>
          </cell>
        </row>
        <row r="11">
          <cell r="F11">
            <v>5971.1284999999998</v>
          </cell>
          <cell r="I11">
            <v>1569.2094999999999</v>
          </cell>
        </row>
        <row r="12">
          <cell r="F12">
            <v>42846.34</v>
          </cell>
          <cell r="I12">
            <v>42846.34</v>
          </cell>
        </row>
        <row r="15">
          <cell r="E15">
            <v>1273.9000000000001</v>
          </cell>
          <cell r="H15">
            <v>1121.5</v>
          </cell>
        </row>
        <row r="16">
          <cell r="E16">
            <v>25</v>
          </cell>
          <cell r="H16">
            <v>25</v>
          </cell>
        </row>
        <row r="17">
          <cell r="E17">
            <v>2136.8500000000004</v>
          </cell>
          <cell r="H17">
            <v>4515.7800000000007</v>
          </cell>
        </row>
        <row r="18">
          <cell r="E18">
            <v>37609.210000000006</v>
          </cell>
          <cell r="H18">
            <v>26330.2</v>
          </cell>
        </row>
        <row r="21">
          <cell r="E21">
            <v>-415</v>
          </cell>
          <cell r="H21">
            <v>-410</v>
          </cell>
        </row>
        <row r="22">
          <cell r="E22">
            <v>-3173.05</v>
          </cell>
          <cell r="H22">
            <v>-930.13</v>
          </cell>
        </row>
        <row r="30">
          <cell r="F30">
            <v>173344.46422222219</v>
          </cell>
          <cell r="I30">
            <v>166122.53791666665</v>
          </cell>
        </row>
        <row r="31">
          <cell r="F31">
            <v>-1929.5265555555161</v>
          </cell>
          <cell r="I31">
            <v>7221.9263055554984</v>
          </cell>
        </row>
      </sheetData>
      <sheetData sheetId="2">
        <row r="8">
          <cell r="E8">
            <v>-1929.5265555555161</v>
          </cell>
        </row>
        <row r="9">
          <cell r="E9">
            <v>28853.796555555513</v>
          </cell>
        </row>
        <row r="10">
          <cell r="E10">
            <v>2997.37</v>
          </cell>
        </row>
        <row r="11">
          <cell r="E11">
            <v>-152.40000000000009</v>
          </cell>
        </row>
        <row r="12">
          <cell r="E12">
            <v>2378.9300000000003</v>
          </cell>
        </row>
        <row r="13">
          <cell r="E13">
            <v>2247.92</v>
          </cell>
        </row>
        <row r="16">
          <cell r="F16">
            <v>-23117.08</v>
          </cell>
        </row>
        <row r="18">
          <cell r="F18">
            <v>0</v>
          </cell>
        </row>
        <row r="23">
          <cell r="F23">
            <v>26330.2</v>
          </cell>
        </row>
        <row r="24">
          <cell r="F24">
            <v>11279.010000000006</v>
          </cell>
        </row>
      </sheetData>
      <sheetData sheetId="3" refreshError="1"/>
      <sheetData sheetId="4">
        <row r="5">
          <cell r="D5">
            <v>37287.300000000003</v>
          </cell>
        </row>
        <row r="9">
          <cell r="D9">
            <v>155</v>
          </cell>
        </row>
        <row r="13">
          <cell r="D13">
            <v>120.95</v>
          </cell>
        </row>
        <row r="15">
          <cell r="D15">
            <v>45.96</v>
          </cell>
        </row>
      </sheetData>
      <sheetData sheetId="5">
        <row r="8">
          <cell r="C8">
            <v>1273.9000000000001</v>
          </cell>
        </row>
      </sheetData>
      <sheetData sheetId="6">
        <row r="5">
          <cell r="C5">
            <v>696.07</v>
          </cell>
        </row>
        <row r="6">
          <cell r="C6">
            <v>394.52</v>
          </cell>
        </row>
        <row r="7">
          <cell r="C7">
            <v>1046.26</v>
          </cell>
        </row>
        <row r="13">
          <cell r="C13">
            <v>857.88</v>
          </cell>
        </row>
        <row r="14">
          <cell r="C14">
            <v>1500</v>
          </cell>
        </row>
        <row r="15">
          <cell r="C15">
            <v>70</v>
          </cell>
        </row>
        <row r="16">
          <cell r="C16">
            <v>745.17000000000007</v>
          </cell>
        </row>
      </sheetData>
      <sheetData sheetId="7">
        <row r="6">
          <cell r="E6">
            <v>78441.627749999985</v>
          </cell>
        </row>
        <row r="7">
          <cell r="E7">
            <v>13139.342666666664</v>
          </cell>
        </row>
        <row r="8">
          <cell r="E8">
            <v>6695.5943055555535</v>
          </cell>
        </row>
        <row r="9">
          <cell r="E9">
            <v>1569.2094999999999</v>
          </cell>
        </row>
        <row r="10">
          <cell r="E10">
            <v>42846.34</v>
          </cell>
        </row>
        <row r="13">
          <cell r="E13">
            <v>5820.2</v>
          </cell>
        </row>
        <row r="14">
          <cell r="E14">
            <v>1500</v>
          </cell>
        </row>
        <row r="15">
          <cell r="E15">
            <v>1663</v>
          </cell>
        </row>
        <row r="16">
          <cell r="E16">
            <v>14133.88</v>
          </cell>
        </row>
        <row r="17">
          <cell r="E17">
            <v>0</v>
          </cell>
        </row>
        <row r="20">
          <cell r="D20">
            <v>2041.85</v>
          </cell>
        </row>
        <row r="21">
          <cell r="D21">
            <v>0</v>
          </cell>
        </row>
        <row r="22">
          <cell r="D22">
            <v>955.52</v>
          </cell>
        </row>
        <row r="23">
          <cell r="D2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Boats"/>
      <sheetName val="Blades"/>
      <sheetName val="Equipment"/>
      <sheetName val="Premises"/>
    </sheetNames>
    <sheetDataSet>
      <sheetData sheetId="0">
        <row r="7">
          <cell r="D7">
            <v>53006.160416666673</v>
          </cell>
        </row>
        <row r="12">
          <cell r="D12">
            <v>9067.3599999999988</v>
          </cell>
        </row>
        <row r="17">
          <cell r="D17">
            <v>9471.8614166666666</v>
          </cell>
        </row>
        <row r="22">
          <cell r="D22">
            <v>4776.4345000000003</v>
          </cell>
        </row>
        <row r="27">
          <cell r="D27">
            <v>76321.81633333335</v>
          </cell>
        </row>
        <row r="35">
          <cell r="D35">
            <v>32805.441333333321</v>
          </cell>
        </row>
      </sheetData>
      <sheetData sheetId="1">
        <row r="29">
          <cell r="P29">
            <v>2700</v>
          </cell>
          <cell r="Q29">
            <v>2700</v>
          </cell>
        </row>
      </sheetData>
      <sheetData sheetId="2"/>
      <sheetData sheetId="3">
        <row r="4">
          <cell r="F4">
            <v>4086</v>
          </cell>
        </row>
        <row r="31">
          <cell r="F31">
            <v>522.69000000000005</v>
          </cell>
        </row>
        <row r="53">
          <cell r="F53">
            <v>857.88</v>
          </cell>
        </row>
      </sheetData>
      <sheetData sheetId="4">
        <row r="7">
          <cell r="F7">
            <v>12549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66"/>
    <pageSetUpPr fitToPage="1"/>
  </sheetPr>
  <dimension ref="A1:O42"/>
  <sheetViews>
    <sheetView topLeftCell="A8" workbookViewId="0">
      <selection activeCell="F38" sqref="F38"/>
    </sheetView>
  </sheetViews>
  <sheetFormatPr defaultRowHeight="15"/>
  <cols>
    <col min="1" max="1" width="2.85546875" style="25" customWidth="1"/>
    <col min="2" max="2" width="38.5703125" style="25" customWidth="1"/>
    <col min="3" max="3" width="2.85546875" style="47" customWidth="1"/>
    <col min="4" max="4" width="2.85546875" style="25" customWidth="1"/>
    <col min="5" max="6" width="10.7109375" style="17" customWidth="1"/>
    <col min="7" max="7" width="2.85546875" style="17" customWidth="1"/>
    <col min="8" max="9" width="10.7109375" style="17" customWidth="1"/>
    <col min="10" max="16384" width="9.140625" style="25"/>
  </cols>
  <sheetData>
    <row r="1" spans="1:9" ht="18.75">
      <c r="A1" s="40" t="s">
        <v>82</v>
      </c>
      <c r="B1" s="40"/>
      <c r="C1" s="40"/>
      <c r="D1" s="40"/>
      <c r="E1" s="41"/>
      <c r="F1" s="41"/>
      <c r="G1" s="41"/>
      <c r="H1" s="41"/>
      <c r="I1" s="41"/>
    </row>
    <row r="3" spans="1:9" ht="18.75">
      <c r="A3" s="40" t="s">
        <v>114</v>
      </c>
      <c r="B3" s="40"/>
      <c r="C3" s="40"/>
      <c r="D3" s="40"/>
      <c r="E3" s="41"/>
      <c r="F3" s="41"/>
      <c r="G3" s="41"/>
      <c r="H3" s="41"/>
      <c r="I3" s="41"/>
    </row>
    <row r="6" spans="1:9" s="38" customFormat="1" ht="30" customHeight="1">
      <c r="A6" s="35"/>
      <c r="B6" s="35"/>
      <c r="C6" s="35"/>
      <c r="D6" s="35"/>
      <c r="E6" s="87" t="s">
        <v>108</v>
      </c>
      <c r="F6" s="87"/>
      <c r="G6" s="37"/>
      <c r="H6" s="87" t="s">
        <v>101</v>
      </c>
      <c r="I6" s="87"/>
    </row>
    <row r="7" spans="1:9">
      <c r="A7" s="22"/>
      <c r="B7" s="22"/>
      <c r="C7" s="22"/>
      <c r="D7" s="22"/>
      <c r="E7" s="23" t="s">
        <v>21</v>
      </c>
      <c r="F7" s="23" t="s">
        <v>21</v>
      </c>
      <c r="G7" s="23"/>
      <c r="H7" s="23" t="s">
        <v>21</v>
      </c>
      <c r="I7" s="23" t="s">
        <v>21</v>
      </c>
    </row>
    <row r="8" spans="1:9">
      <c r="C8" s="22" t="s">
        <v>80</v>
      </c>
    </row>
    <row r="9" spans="1:9">
      <c r="A9" s="24" t="s">
        <v>16</v>
      </c>
      <c r="B9" s="24"/>
      <c r="C9" s="22"/>
    </row>
    <row r="10" spans="1:9">
      <c r="B10" s="25" t="s">
        <v>46</v>
      </c>
      <c r="C10" s="47">
        <v>1</v>
      </c>
      <c r="F10" s="17">
        <f>'[1]December 2015'!$G$23-1252.68-631</f>
        <v>37771.08</v>
      </c>
      <c r="I10" s="17">
        <f>'[2]P&amp;L'!F10</f>
        <v>37929.82</v>
      </c>
    </row>
    <row r="11" spans="1:9">
      <c r="B11" s="25" t="s">
        <v>51</v>
      </c>
      <c r="F11" s="17">
        <f>'[1]December 2015'!$G$27</f>
        <v>1557</v>
      </c>
      <c r="I11" s="17">
        <f>'[2]P&amp;L'!F11</f>
        <v>1555</v>
      </c>
    </row>
    <row r="12" spans="1:9">
      <c r="B12" s="25" t="s">
        <v>19</v>
      </c>
      <c r="C12" s="47">
        <v>9</v>
      </c>
      <c r="F12" s="17">
        <f>Bar!G12</f>
        <v>1066.4379999999999</v>
      </c>
      <c r="I12" s="17">
        <f>'[2]P&amp;L'!F12</f>
        <v>1224.23</v>
      </c>
    </row>
    <row r="13" spans="1:9">
      <c r="B13" s="25" t="s">
        <v>47</v>
      </c>
      <c r="F13" s="17">
        <v>0</v>
      </c>
      <c r="I13" s="17">
        <f>'[2]P&amp;L'!F13</f>
        <v>0</v>
      </c>
    </row>
    <row r="14" spans="1:9">
      <c r="B14" s="25" t="s">
        <v>48</v>
      </c>
      <c r="C14" s="47">
        <v>10</v>
      </c>
      <c r="F14" s="17">
        <f>'[1]December 2015'!$G$25</f>
        <v>500</v>
      </c>
      <c r="I14" s="17">
        <f>'[2]P&amp;L'!F14</f>
        <v>500</v>
      </c>
    </row>
    <row r="15" spans="1:9">
      <c r="B15" s="25" t="s">
        <v>49</v>
      </c>
      <c r="F15" s="17">
        <v>0</v>
      </c>
      <c r="I15" s="17">
        <f>'[2]P&amp;L'!F15</f>
        <v>4000</v>
      </c>
    </row>
    <row r="16" spans="1:9">
      <c r="B16" s="25" t="s">
        <v>50</v>
      </c>
      <c r="C16" s="47">
        <v>3</v>
      </c>
      <c r="F16" s="17">
        <f>'[1]December 2015'!$G$30+631</f>
        <v>1962.29</v>
      </c>
      <c r="I16" s="17">
        <f>'[2]P&amp;L'!F16</f>
        <v>1675.84</v>
      </c>
    </row>
    <row r="17" spans="1:15">
      <c r="B17" s="25" t="s">
        <v>70</v>
      </c>
      <c r="C17" s="47">
        <v>2</v>
      </c>
      <c r="F17" s="17">
        <f>[3]Boats!$Q$29</f>
        <v>2700</v>
      </c>
      <c r="I17" s="17">
        <f>'[2]P&amp;L'!F17</f>
        <v>-2997.37</v>
      </c>
    </row>
    <row r="18" spans="1:15">
      <c r="B18" s="25" t="s">
        <v>115</v>
      </c>
      <c r="C18" s="47">
        <v>4</v>
      </c>
      <c r="F18" s="18">
        <f>'[1]December 2015'!$G$28</f>
        <v>9430.5</v>
      </c>
      <c r="I18" s="18">
        <f>'[2]P&amp;L'!F18</f>
        <v>6881.5300000000007</v>
      </c>
    </row>
    <row r="19" spans="1:15">
      <c r="B19" s="25" t="s">
        <v>116</v>
      </c>
      <c r="C19" s="47">
        <v>5</v>
      </c>
      <c r="F19" s="18">
        <f>'[1]December 2015'!$G$29-'Accruals &amp; Prepayments'!E7</f>
        <v>8285.09</v>
      </c>
      <c r="I19" s="18"/>
    </row>
    <row r="20" spans="1:15">
      <c r="B20" s="25" t="s">
        <v>66</v>
      </c>
      <c r="F20" s="19">
        <f>'[1]December 2015'!$G$31</f>
        <v>650</v>
      </c>
      <c r="I20" s="19">
        <f>'[2]P&amp;L'!F19</f>
        <v>0</v>
      </c>
    </row>
    <row r="21" spans="1:15">
      <c r="F21" s="17">
        <f>SUM(F10:F20)</f>
        <v>63922.398000000001</v>
      </c>
      <c r="I21" s="17">
        <f>SUM(I10:I20)</f>
        <v>50769.049999999996</v>
      </c>
      <c r="O21" s="17"/>
    </row>
    <row r="23" spans="1:15">
      <c r="A23" s="24" t="s">
        <v>17</v>
      </c>
    </row>
    <row r="24" spans="1:15">
      <c r="B24" s="25" t="s">
        <v>52</v>
      </c>
      <c r="E24" s="18">
        <f>'[1]December 2015'!$G$6</f>
        <v>1209.3</v>
      </c>
      <c r="H24" s="18">
        <f>'[2]P&amp;L'!E23</f>
        <v>1089</v>
      </c>
    </row>
    <row r="25" spans="1:15">
      <c r="B25" s="25" t="s">
        <v>53</v>
      </c>
      <c r="E25" s="18">
        <f>'[1]December 2015'!$G$4</f>
        <v>3852.29</v>
      </c>
      <c r="H25" s="18">
        <f>'[2]P&amp;L'!E24</f>
        <v>3298.48</v>
      </c>
    </row>
    <row r="26" spans="1:15">
      <c r="B26" s="25" t="s">
        <v>54</v>
      </c>
      <c r="E26" s="18">
        <f>'[1]December 2015'!$G$5</f>
        <v>844.2</v>
      </c>
      <c r="H26" s="18">
        <f>'[2]P&amp;L'!E25</f>
        <v>965.28</v>
      </c>
    </row>
    <row r="27" spans="1:15">
      <c r="B27" s="25" t="s">
        <v>55</v>
      </c>
      <c r="E27" s="18">
        <f>'[1]December 2015'!$G$7-'Accruals &amp; Prepayments'!C6+'Accruals &amp; Prepayments'!E6</f>
        <v>1659.02</v>
      </c>
      <c r="H27" s="18">
        <f>'[2]P&amp;L'!E26</f>
        <v>1571.08</v>
      </c>
    </row>
    <row r="28" spans="1:15">
      <c r="B28" s="25" t="s">
        <v>56</v>
      </c>
      <c r="E28" s="18">
        <f>'[1]December 2015'!$G$8</f>
        <v>4503.57</v>
      </c>
      <c r="H28" s="18">
        <f>'[2]P&amp;L'!E27</f>
        <v>4117.4799999999996</v>
      </c>
    </row>
    <row r="29" spans="1:15">
      <c r="B29" s="25" t="s">
        <v>57</v>
      </c>
      <c r="C29" s="47">
        <v>6</v>
      </c>
      <c r="E29" s="18">
        <f>'[1]December 2015'!$G$10</f>
        <v>862.3</v>
      </c>
      <c r="H29" s="18">
        <f>'[2]P&amp;L'!E28</f>
        <v>5380.35</v>
      </c>
    </row>
    <row r="30" spans="1:15">
      <c r="B30" s="25" t="s">
        <v>58</v>
      </c>
      <c r="E30" s="18">
        <f>'[1]December 2015'!$G$11</f>
        <v>2679.48</v>
      </c>
      <c r="H30" s="18">
        <f>'[2]P&amp;L'!E29</f>
        <v>2751.17</v>
      </c>
    </row>
    <row r="31" spans="1:15">
      <c r="B31" s="25" t="s">
        <v>59</v>
      </c>
      <c r="E31" s="18">
        <f>'[1]December 2015'!$G$12</f>
        <v>449.34</v>
      </c>
      <c r="H31" s="18">
        <f>'[2]P&amp;L'!E30</f>
        <v>303.27999999999997</v>
      </c>
    </row>
    <row r="32" spans="1:15">
      <c r="B32" s="25" t="s">
        <v>67</v>
      </c>
      <c r="E32" s="18">
        <f>'[1]December 2015'!$G$13</f>
        <v>585.86</v>
      </c>
      <c r="H32" s="18">
        <f>'[2]P&amp;L'!E31</f>
        <v>482.26</v>
      </c>
    </row>
    <row r="33" spans="1:9">
      <c r="B33" s="25" t="s">
        <v>60</v>
      </c>
      <c r="E33" s="18">
        <f>'[1]December 2015'!$G$14</f>
        <v>290.87</v>
      </c>
      <c r="H33" s="18">
        <f>'[2]P&amp;L'!E32</f>
        <v>284.38</v>
      </c>
    </row>
    <row r="34" spans="1:9">
      <c r="B34" s="25" t="s">
        <v>48</v>
      </c>
      <c r="C34" s="47">
        <v>10</v>
      </c>
      <c r="E34" s="18">
        <f>'[1]December 2015'!$G$15</f>
        <v>15</v>
      </c>
      <c r="H34" s="18">
        <f>'[2]P&amp;L'!E33</f>
        <v>402.9</v>
      </c>
    </row>
    <row r="35" spans="1:9">
      <c r="B35" s="25" t="s">
        <v>61</v>
      </c>
      <c r="E35" s="18">
        <f>'[1]December 2015'!$G$16</f>
        <v>1663.74</v>
      </c>
      <c r="H35" s="18">
        <f>'[2]P&amp;L'!E34</f>
        <v>1863.36</v>
      </c>
    </row>
    <row r="36" spans="1:9">
      <c r="B36" s="25" t="s">
        <v>62</v>
      </c>
      <c r="C36" s="47">
        <v>2</v>
      </c>
      <c r="E36" s="18">
        <f>[3]Control!$D$35</f>
        <v>32805.441333333321</v>
      </c>
      <c r="H36" s="18">
        <f>'[2]P&amp;L'!E35</f>
        <v>28853.796555555513</v>
      </c>
    </row>
    <row r="37" spans="1:9">
      <c r="B37" s="25" t="s">
        <v>63</v>
      </c>
      <c r="E37" s="18">
        <f>'[1]December 2015'!$G$19</f>
        <v>616.57000000000005</v>
      </c>
      <c r="H37" s="18">
        <f>'[2]P&amp;L'!E36</f>
        <v>657.65</v>
      </c>
    </row>
    <row r="38" spans="1:9">
      <c r="B38" s="25" t="s">
        <v>64</v>
      </c>
      <c r="E38" s="19">
        <f>'[1]December 2015'!$G$17+'[1]December 2015'!$G$18</f>
        <v>916.86</v>
      </c>
      <c r="H38" s="19">
        <f>'[2]P&amp;L'!E37</f>
        <v>678.11</v>
      </c>
    </row>
    <row r="39" spans="1:9">
      <c r="F39" s="17">
        <f>-SUM(E24:E38)</f>
        <v>-52953.841333333323</v>
      </c>
      <c r="I39" s="17">
        <f>-SUM(H24:H38)</f>
        <v>-52698.576555555512</v>
      </c>
    </row>
    <row r="41" spans="1:9" ht="15.75" thickBot="1">
      <c r="A41" s="24" t="s">
        <v>65</v>
      </c>
      <c r="F41" s="39">
        <f>F21+F39</f>
        <v>10968.556666666678</v>
      </c>
      <c r="I41" s="39">
        <f>I21+I39</f>
        <v>-1929.5265555555161</v>
      </c>
    </row>
    <row r="42" spans="1:9" ht="15.75" thickTop="1"/>
  </sheetData>
  <mergeCells count="2">
    <mergeCell ref="E6:F6"/>
    <mergeCell ref="H6:I6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66"/>
  </sheetPr>
  <dimension ref="A1:L34"/>
  <sheetViews>
    <sheetView topLeftCell="A5" workbookViewId="0">
      <selection activeCell="F38" sqref="F38"/>
    </sheetView>
  </sheetViews>
  <sheetFormatPr defaultRowHeight="15"/>
  <cols>
    <col min="1" max="1" width="2.85546875" customWidth="1"/>
    <col min="2" max="2" width="28.5703125" customWidth="1"/>
    <col min="3" max="4" width="2.85546875" customWidth="1"/>
    <col min="5" max="6" width="10.7109375" style="6" customWidth="1"/>
    <col min="7" max="7" width="2.85546875" style="6" customWidth="1"/>
    <col min="8" max="9" width="10.7109375" style="6" customWidth="1"/>
    <col min="10" max="10" width="2.85546875" style="6" customWidth="1"/>
    <col min="11" max="12" width="10.7109375" style="6" customWidth="1"/>
  </cols>
  <sheetData>
    <row r="1" spans="1:12" ht="18.75">
      <c r="A1" s="43" t="s">
        <v>109</v>
      </c>
      <c r="B1" s="44"/>
      <c r="C1" s="44"/>
      <c r="D1" s="44"/>
      <c r="E1" s="45"/>
      <c r="F1" s="45"/>
      <c r="G1" s="45"/>
      <c r="H1" s="45"/>
      <c r="I1" s="45"/>
    </row>
    <row r="4" spans="1:12" s="3" customFormat="1" ht="30" customHeight="1">
      <c r="E4" s="88" t="s">
        <v>110</v>
      </c>
      <c r="F4" s="88"/>
      <c r="G4" s="5"/>
      <c r="H4" s="88" t="s">
        <v>102</v>
      </c>
      <c r="I4" s="88"/>
      <c r="J4" s="5"/>
      <c r="K4" s="88" t="s">
        <v>20</v>
      </c>
      <c r="L4" s="88"/>
    </row>
    <row r="5" spans="1:12" s="3" customFormat="1">
      <c r="E5" s="5" t="s">
        <v>21</v>
      </c>
      <c r="F5" s="5" t="s">
        <v>21</v>
      </c>
      <c r="G5" s="5"/>
      <c r="H5" s="5" t="s">
        <v>21</v>
      </c>
      <c r="I5" s="5" t="s">
        <v>21</v>
      </c>
      <c r="J5" s="5"/>
      <c r="K5" s="5" t="s">
        <v>21</v>
      </c>
      <c r="L5" s="5" t="s">
        <v>21</v>
      </c>
    </row>
    <row r="6" spans="1:12">
      <c r="C6" s="3" t="s">
        <v>80</v>
      </c>
    </row>
    <row r="7" spans="1:12">
      <c r="A7" s="1" t="s">
        <v>22</v>
      </c>
      <c r="B7" s="1"/>
      <c r="C7">
        <v>2</v>
      </c>
    </row>
    <row r="8" spans="1:12">
      <c r="B8" t="s">
        <v>23</v>
      </c>
      <c r="F8" s="6">
        <f>[3]Control!$D$7</f>
        <v>53006.160416666673</v>
      </c>
      <c r="I8" s="6">
        <f>'[2]Balance Sheet'!F8</f>
        <v>67579.167416666663</v>
      </c>
      <c r="L8" s="6">
        <f>'[2]Balance Sheet'!I8</f>
        <v>78441.627749999985</v>
      </c>
    </row>
    <row r="9" spans="1:12">
      <c r="B9" t="s">
        <v>24</v>
      </c>
      <c r="F9" s="6">
        <f>[3]Control!$D$12</f>
        <v>9067.3599999999988</v>
      </c>
      <c r="I9" s="6">
        <f>'[2]Balance Sheet'!F9</f>
        <v>11805.434666666666</v>
      </c>
      <c r="L9" s="6">
        <f>'[2]Balance Sheet'!I9</f>
        <v>13139.342666666664</v>
      </c>
    </row>
    <row r="10" spans="1:12">
      <c r="B10" t="s">
        <v>25</v>
      </c>
      <c r="F10" s="6">
        <f>[3]Control!$D$17</f>
        <v>9471.8614166666666</v>
      </c>
      <c r="I10" s="6">
        <f>'[2]Balance Sheet'!F10</f>
        <v>5755.9570833333337</v>
      </c>
      <c r="L10" s="6">
        <f>'[2]Balance Sheet'!I10</f>
        <v>6695.5943055555535</v>
      </c>
    </row>
    <row r="11" spans="1:12" s="13" customFormat="1">
      <c r="B11" s="13" t="s">
        <v>26</v>
      </c>
      <c r="E11" s="14"/>
      <c r="F11" s="14">
        <f>[3]Control!$D$22</f>
        <v>4776.4345000000003</v>
      </c>
      <c r="G11" s="14"/>
      <c r="H11" s="14"/>
      <c r="I11" s="14">
        <f>'[2]Balance Sheet'!F11</f>
        <v>5971.1284999999998</v>
      </c>
      <c r="J11" s="14"/>
      <c r="K11" s="14"/>
      <c r="L11" s="14">
        <f>'[2]Balance Sheet'!I11</f>
        <v>1569.2094999999999</v>
      </c>
    </row>
    <row r="12" spans="1:12">
      <c r="B12" t="s">
        <v>42</v>
      </c>
      <c r="F12" s="7">
        <f>I12</f>
        <v>42846.34</v>
      </c>
      <c r="I12" s="7">
        <f>'[2]Balance Sheet'!F12</f>
        <v>42846.34</v>
      </c>
      <c r="L12" s="7">
        <f>'[2]Balance Sheet'!I12</f>
        <v>42846.34</v>
      </c>
    </row>
    <row r="13" spans="1:12">
      <c r="F13" s="8">
        <f>SUM(F8:F12)</f>
        <v>119168.15633333335</v>
      </c>
      <c r="I13" s="8">
        <f>SUM(I8:I12)</f>
        <v>133958.02766666666</v>
      </c>
      <c r="L13" s="8">
        <f>SUM(L8:L12)</f>
        <v>142692.11422222218</v>
      </c>
    </row>
    <row r="14" spans="1:12">
      <c r="A14" s="1" t="s">
        <v>27</v>
      </c>
    </row>
    <row r="15" spans="1:12">
      <c r="B15" t="s">
        <v>28</v>
      </c>
      <c r="E15" s="6">
        <f>Bar!C8</f>
        <v>1435.2</v>
      </c>
      <c r="H15" s="6">
        <f>'[2]Balance Sheet'!E15</f>
        <v>1273.9000000000001</v>
      </c>
      <c r="K15" s="6">
        <f>'[2]Balance Sheet'!H15</f>
        <v>1121.5</v>
      </c>
    </row>
    <row r="16" spans="1:12">
      <c r="B16" t="s">
        <v>29</v>
      </c>
      <c r="E16" s="6">
        <v>25</v>
      </c>
      <c r="H16" s="6">
        <f>'[2]Balance Sheet'!E16</f>
        <v>25</v>
      </c>
      <c r="K16" s="6">
        <f>'[2]Balance Sheet'!H16</f>
        <v>25</v>
      </c>
    </row>
    <row r="17" spans="1:12">
      <c r="B17" t="s">
        <v>30</v>
      </c>
      <c r="C17">
        <v>7</v>
      </c>
      <c r="E17" s="6">
        <f>'Accruals &amp; Prepayments'!C10</f>
        <v>2874</v>
      </c>
      <c r="H17" s="6">
        <f>'[2]Balance Sheet'!E17</f>
        <v>2136.8500000000004</v>
      </c>
      <c r="K17" s="6">
        <f>'[2]Balance Sheet'!H17</f>
        <v>4515.7800000000007</v>
      </c>
    </row>
    <row r="18" spans="1:12">
      <c r="B18" t="s">
        <v>31</v>
      </c>
      <c r="E18" s="7">
        <f>Cash!F18</f>
        <v>60987.75</v>
      </c>
      <c r="H18" s="7">
        <f>'[2]Balance Sheet'!E18</f>
        <v>37609.210000000006</v>
      </c>
      <c r="K18" s="7">
        <f>'[2]Balance Sheet'!H18</f>
        <v>26330.2</v>
      </c>
    </row>
    <row r="19" spans="1:12">
      <c r="E19" s="8">
        <f>SUM(E15:E18)</f>
        <v>65321.95</v>
      </c>
      <c r="H19" s="8">
        <f>SUM(H15:H18)</f>
        <v>41044.960000000006</v>
      </c>
      <c r="K19" s="8">
        <f>SUM(K15:K18)</f>
        <v>31992.480000000003</v>
      </c>
    </row>
    <row r="20" spans="1:12">
      <c r="A20" s="1" t="s">
        <v>32</v>
      </c>
      <c r="C20">
        <v>8</v>
      </c>
    </row>
    <row r="21" spans="1:12">
      <c r="B21" t="s">
        <v>33</v>
      </c>
      <c r="E21" s="6">
        <v>-415</v>
      </c>
      <c r="H21" s="6">
        <f>'[2]Balance Sheet'!E21</f>
        <v>-415</v>
      </c>
      <c r="K21" s="6">
        <f>'[2]Balance Sheet'!H21</f>
        <v>-410</v>
      </c>
    </row>
    <row r="22" spans="1:12">
      <c r="B22" t="s">
        <v>34</v>
      </c>
      <c r="E22" s="7">
        <f>-'Accruals &amp; Prepayments'!C20</f>
        <v>-1691.6100000000001</v>
      </c>
      <c r="H22" s="7">
        <f>'[2]Balance Sheet'!E22</f>
        <v>-3173.05</v>
      </c>
      <c r="K22" s="7">
        <f>'[2]Balance Sheet'!H22</f>
        <v>-930.13</v>
      </c>
    </row>
    <row r="23" spans="1:12">
      <c r="E23" s="8">
        <f>SUM(E21:E22)</f>
        <v>-2106.61</v>
      </c>
      <c r="H23" s="8">
        <f>SUM(H21:H22)</f>
        <v>-3588.05</v>
      </c>
      <c r="K23" s="8">
        <f>SUM(K21:K22)</f>
        <v>-1340.13</v>
      </c>
    </row>
    <row r="25" spans="1:12">
      <c r="A25" s="1" t="s">
        <v>35</v>
      </c>
      <c r="F25" s="8">
        <f>E19+E23</f>
        <v>63215.34</v>
      </c>
      <c r="I25" s="8">
        <f>H19+H23</f>
        <v>37456.910000000003</v>
      </c>
      <c r="L25" s="8">
        <f>K19+K23</f>
        <v>30652.350000000002</v>
      </c>
    </row>
    <row r="27" spans="1:12" ht="15.75" thickBot="1">
      <c r="A27" s="1" t="s">
        <v>36</v>
      </c>
      <c r="F27" s="9">
        <f>F13+F25</f>
        <v>182383.49633333334</v>
      </c>
      <c r="I27" s="9">
        <f>I13+I25</f>
        <v>171414.93766666666</v>
      </c>
      <c r="L27" s="9">
        <f>L13+L25</f>
        <v>173344.46422222219</v>
      </c>
    </row>
    <row r="28" spans="1:12" ht="15.75" thickTop="1"/>
    <row r="29" spans="1:12">
      <c r="A29" s="1" t="s">
        <v>37</v>
      </c>
    </row>
    <row r="30" spans="1:12">
      <c r="B30" t="s">
        <v>38</v>
      </c>
      <c r="F30" s="6">
        <f>I27</f>
        <v>171414.93766666666</v>
      </c>
      <c r="I30" s="6">
        <f>'[2]Balance Sheet'!F30</f>
        <v>173344.46422222219</v>
      </c>
      <c r="L30" s="6">
        <f>'[2]Balance Sheet'!I30</f>
        <v>166122.53791666665</v>
      </c>
    </row>
    <row r="31" spans="1:12">
      <c r="B31" t="s">
        <v>39</v>
      </c>
      <c r="F31" s="6">
        <f>'P&amp;L'!F41</f>
        <v>10968.556666666678</v>
      </c>
      <c r="I31" s="6">
        <f>'[2]Balance Sheet'!F31</f>
        <v>-1929.5265555555161</v>
      </c>
      <c r="L31" s="6">
        <f>'[2]Balance Sheet'!I31</f>
        <v>7221.9263055554984</v>
      </c>
    </row>
    <row r="32" spans="1:12" s="1" customFormat="1" ht="15.75" thickBot="1">
      <c r="A32" s="1" t="s">
        <v>40</v>
      </c>
      <c r="E32" s="8"/>
      <c r="F32" s="9">
        <f>SUM(F30:F31)</f>
        <v>182383.49433333334</v>
      </c>
      <c r="G32" s="8"/>
      <c r="H32" s="8"/>
      <c r="I32" s="9">
        <f>SUM(I30:I31)</f>
        <v>171414.93766666666</v>
      </c>
      <c r="J32" s="8"/>
      <c r="K32" s="8"/>
      <c r="L32" s="9">
        <f>SUM(L30:L31)</f>
        <v>173344.46422222216</v>
      </c>
    </row>
    <row r="33" spans="2:12" ht="15.75" thickTop="1"/>
    <row r="34" spans="2:12" s="10" customFormat="1">
      <c r="B34" s="10" t="s">
        <v>41</v>
      </c>
      <c r="E34" s="11"/>
      <c r="F34" s="12">
        <f>F27-F32</f>
        <v>2.0000000076834112E-3</v>
      </c>
      <c r="G34" s="11"/>
      <c r="H34" s="11"/>
      <c r="I34" s="12">
        <f>I27-I32</f>
        <v>0</v>
      </c>
      <c r="J34" s="11"/>
      <c r="K34" s="11"/>
      <c r="L34" s="12"/>
    </row>
  </sheetData>
  <mergeCells count="3">
    <mergeCell ref="E4:F4"/>
    <mergeCell ref="H4:I4"/>
    <mergeCell ref="K4:L4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66"/>
    <pageSetUpPr fitToPage="1"/>
  </sheetPr>
  <dimension ref="A1:L46"/>
  <sheetViews>
    <sheetView topLeftCell="A19" workbookViewId="0">
      <selection activeCell="F38" sqref="F38"/>
    </sheetView>
  </sheetViews>
  <sheetFormatPr defaultRowHeight="15"/>
  <cols>
    <col min="1" max="1" width="2.85546875" customWidth="1"/>
    <col min="2" max="2" width="42.85546875" customWidth="1"/>
    <col min="3" max="4" width="2.85546875" customWidth="1"/>
    <col min="5" max="6" width="10.7109375" style="6" customWidth="1"/>
    <col min="7" max="7" width="2.85546875" style="6" customWidth="1"/>
    <col min="8" max="9" width="10.7109375" style="6" customWidth="1"/>
  </cols>
  <sheetData>
    <row r="1" spans="1:9" s="42" customFormat="1" ht="18.75">
      <c r="A1" s="43" t="s">
        <v>118</v>
      </c>
      <c r="B1" s="43"/>
      <c r="C1" s="43"/>
      <c r="D1" s="43"/>
      <c r="E1" s="46"/>
      <c r="F1" s="46"/>
      <c r="G1" s="46"/>
      <c r="H1" s="46"/>
      <c r="I1" s="46"/>
    </row>
    <row r="4" spans="1:9" s="3" customFormat="1" ht="30" customHeight="1">
      <c r="E4" s="88" t="s">
        <v>108</v>
      </c>
      <c r="F4" s="88"/>
      <c r="G4" s="5"/>
      <c r="H4" s="88" t="s">
        <v>101</v>
      </c>
      <c r="I4" s="88"/>
    </row>
    <row r="5" spans="1:9" s="3" customFormat="1">
      <c r="E5" s="5" t="s">
        <v>21</v>
      </c>
      <c r="F5" s="5" t="s">
        <v>21</v>
      </c>
      <c r="G5" s="5"/>
      <c r="H5" s="5" t="s">
        <v>21</v>
      </c>
      <c r="I5" s="5" t="s">
        <v>21</v>
      </c>
    </row>
    <row r="6" spans="1:9">
      <c r="C6" s="3" t="s">
        <v>80</v>
      </c>
    </row>
    <row r="7" spans="1:9">
      <c r="A7" s="1" t="s">
        <v>72</v>
      </c>
      <c r="B7" s="1"/>
    </row>
    <row r="8" spans="1:9">
      <c r="B8" t="s">
        <v>65</v>
      </c>
      <c r="E8" s="6">
        <f>'P&amp;L'!F41</f>
        <v>10968.556666666678</v>
      </c>
      <c r="H8" s="6">
        <f>'[2]Cash Flow'!E8</f>
        <v>-1929.5265555555161</v>
      </c>
    </row>
    <row r="9" spans="1:9">
      <c r="B9" t="s">
        <v>62</v>
      </c>
      <c r="E9" s="6">
        <f>'P&amp;L'!E36</f>
        <v>32805.441333333321</v>
      </c>
      <c r="H9" s="6">
        <f>'[2]Cash Flow'!E9</f>
        <v>28853.796555555513</v>
      </c>
    </row>
    <row r="10" spans="1:9">
      <c r="B10" t="s">
        <v>79</v>
      </c>
      <c r="E10" s="6">
        <f>-'P&amp;L'!F17</f>
        <v>-2700</v>
      </c>
      <c r="H10" s="6">
        <f>'[2]Cash Flow'!E10</f>
        <v>2997.37</v>
      </c>
    </row>
    <row r="11" spans="1:9">
      <c r="B11" t="s">
        <v>73</v>
      </c>
      <c r="E11" s="6">
        <f>'Balance Sheet'!H15-'Balance Sheet'!E15+'Balance Sheet'!H16-'Balance Sheet'!E16</f>
        <v>-161.29999999999995</v>
      </c>
      <c r="H11" s="6">
        <f>'[2]Cash Flow'!E11</f>
        <v>-152.40000000000009</v>
      </c>
    </row>
    <row r="12" spans="1:9">
      <c r="B12" t="s">
        <v>74</v>
      </c>
      <c r="E12" s="6">
        <f>'Balance Sheet'!H17-'Balance Sheet'!E17</f>
        <v>-737.14999999999964</v>
      </c>
      <c r="H12" s="6">
        <f>'[2]Cash Flow'!E12</f>
        <v>2378.9300000000003</v>
      </c>
    </row>
    <row r="13" spans="1:9">
      <c r="B13" t="s">
        <v>75</v>
      </c>
      <c r="E13" s="6">
        <f>'Balance Sheet'!H23-'Balance Sheet'!E23</f>
        <v>-1481.44</v>
      </c>
      <c r="F13" s="7"/>
      <c r="H13" s="6">
        <f>'[2]Cash Flow'!E13</f>
        <v>2247.92</v>
      </c>
      <c r="I13" s="7"/>
    </row>
    <row r="14" spans="1:9">
      <c r="F14" s="6">
        <f>SUM(E8:E13)</f>
        <v>38694.107999999993</v>
      </c>
      <c r="I14" s="6">
        <f>SUM(H8:H13)</f>
        <v>34396.089999999997</v>
      </c>
    </row>
    <row r="16" spans="1:9">
      <c r="A16" s="1" t="s">
        <v>76</v>
      </c>
      <c r="C16">
        <v>2</v>
      </c>
      <c r="F16" s="6">
        <f>-'Fixed Assets'!E18</f>
        <v>-18015.57</v>
      </c>
      <c r="I16" s="6">
        <f>'[2]Cash Flow'!F16</f>
        <v>-23117.08</v>
      </c>
    </row>
    <row r="18" spans="1:12">
      <c r="A18" s="1" t="s">
        <v>77</v>
      </c>
      <c r="C18">
        <v>2</v>
      </c>
      <c r="F18" s="6">
        <f>[3]Boats!$P$29</f>
        <v>2700</v>
      </c>
      <c r="I18" s="6">
        <f>'[2]Cash Flow'!F18</f>
        <v>0</v>
      </c>
    </row>
    <row r="20" spans="1:12" ht="15.75" thickBot="1">
      <c r="A20" s="1" t="s">
        <v>78</v>
      </c>
      <c r="B20" s="13"/>
      <c r="F20" s="16">
        <f>F14+F16+F18</f>
        <v>23378.537999999993</v>
      </c>
      <c r="I20" s="16">
        <f>I14+I16+I18</f>
        <v>11279.009999999995</v>
      </c>
    </row>
    <row r="21" spans="1:12" ht="15.75" thickTop="1"/>
    <row r="22" spans="1:12">
      <c r="A22" s="1" t="s">
        <v>78</v>
      </c>
    </row>
    <row r="23" spans="1:12">
      <c r="B23" t="s">
        <v>1</v>
      </c>
      <c r="F23" s="6">
        <f>'Balance Sheet'!H18</f>
        <v>37609.210000000006</v>
      </c>
      <c r="I23" s="6">
        <f>'[2]Cash Flow'!F23</f>
        <v>26330.2</v>
      </c>
    </row>
    <row r="24" spans="1:12">
      <c r="B24" t="s">
        <v>78</v>
      </c>
      <c r="F24" s="6">
        <f>F25-F23</f>
        <v>23378.539999999994</v>
      </c>
      <c r="I24" s="6">
        <f>'[2]Cash Flow'!F24</f>
        <v>11279.010000000006</v>
      </c>
    </row>
    <row r="25" spans="1:12" ht="15.75" thickBot="1">
      <c r="B25" t="s">
        <v>2</v>
      </c>
      <c r="F25" s="16">
        <f>'Balance Sheet'!E18</f>
        <v>60987.75</v>
      </c>
      <c r="I25" s="16">
        <f>'Balance Sheet'!H18</f>
        <v>37609.210000000006</v>
      </c>
    </row>
    <row r="26" spans="1:12" ht="15.75" thickTop="1">
      <c r="F26" s="14"/>
      <c r="I26" s="14"/>
    </row>
    <row r="27" spans="1:12" s="81" customFormat="1">
      <c r="B27" s="81" t="s">
        <v>41</v>
      </c>
      <c r="E27" s="82"/>
      <c r="F27" s="83">
        <f>F24-F20</f>
        <v>2.0000000004074536E-3</v>
      </c>
      <c r="G27" s="82"/>
      <c r="H27" s="82"/>
      <c r="I27" s="83">
        <f>I24-I20</f>
        <v>0</v>
      </c>
      <c r="J27" s="82"/>
      <c r="K27" s="82"/>
      <c r="L27" s="83"/>
    </row>
    <row r="28" spans="1:12" s="84" customFormat="1">
      <c r="E28" s="85"/>
      <c r="F28" s="86"/>
      <c r="G28" s="85"/>
      <c r="H28" s="85"/>
      <c r="I28" s="86"/>
    </row>
    <row r="29" spans="1:12" s="84" customFormat="1">
      <c r="E29" s="85"/>
      <c r="F29" s="86"/>
      <c r="G29" s="85"/>
      <c r="H29" s="85"/>
      <c r="I29" s="86"/>
    </row>
    <row r="30" spans="1:12">
      <c r="F30" s="14"/>
      <c r="I30" s="14"/>
    </row>
    <row r="32" spans="1:12">
      <c r="A32" s="1" t="s">
        <v>96</v>
      </c>
    </row>
    <row r="33" spans="1:9">
      <c r="B33" t="s">
        <v>97</v>
      </c>
    </row>
    <row r="34" spans="1:9">
      <c r="B34" t="s">
        <v>98</v>
      </c>
    </row>
    <row r="35" spans="1:9">
      <c r="B35" t="s">
        <v>119</v>
      </c>
    </row>
    <row r="37" spans="1:9">
      <c r="A37" t="s">
        <v>99</v>
      </c>
    </row>
    <row r="40" spans="1:9">
      <c r="B40" s="77"/>
    </row>
    <row r="41" spans="1:9">
      <c r="B41" s="13"/>
    </row>
    <row r="42" spans="1:9">
      <c r="B42" s="78" t="s">
        <v>100</v>
      </c>
    </row>
    <row r="43" spans="1:9">
      <c r="B43" s="78"/>
    </row>
    <row r="44" spans="1:9">
      <c r="B44" s="78" t="s">
        <v>122</v>
      </c>
    </row>
    <row r="46" spans="1:9" s="10" customFormat="1">
      <c r="B46" s="10" t="s">
        <v>41</v>
      </c>
      <c r="E46" s="11"/>
      <c r="F46" s="12">
        <f>F24-F20</f>
        <v>2.0000000004074536E-3</v>
      </c>
      <c r="G46" s="11"/>
      <c r="H46" s="11"/>
      <c r="I46" s="11">
        <f>I24-I20</f>
        <v>0</v>
      </c>
    </row>
  </sheetData>
  <mergeCells count="2">
    <mergeCell ref="E4:F4"/>
    <mergeCell ref="H4:I4"/>
  </mergeCells>
  <pageMargins left="0.70866141732283472" right="0.70866141732283472" top="0.74803149606299213" bottom="0.74803149606299213" header="0.31496062992125984" footer="0.31496062992125984"/>
  <pageSetup paperSize="9" scale="9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30"/>
  <sheetViews>
    <sheetView tabSelected="1" workbookViewId="0">
      <selection activeCell="M4" sqref="M4"/>
    </sheetView>
  </sheetViews>
  <sheetFormatPr defaultRowHeight="15"/>
  <cols>
    <col min="1" max="1" width="2.85546875" customWidth="1"/>
    <col min="2" max="2" width="30" bestFit="1" customWidth="1"/>
    <col min="3" max="3" width="1.42578125" customWidth="1"/>
    <col min="4" max="4" width="12.140625" customWidth="1"/>
    <col min="5" max="6" width="1.42578125" customWidth="1"/>
    <col min="7" max="7" width="12.140625" customWidth="1"/>
    <col min="8" max="9" width="1.42578125" customWidth="1"/>
    <col min="10" max="10" width="12.140625" customWidth="1"/>
    <col min="11" max="12" width="1.42578125" customWidth="1"/>
    <col min="13" max="13" width="12.140625" customWidth="1"/>
    <col min="14" max="14" width="1.42578125" customWidth="1"/>
    <col min="16" max="16" width="30" bestFit="1" customWidth="1"/>
    <col min="17" max="17" width="1.7109375" customWidth="1"/>
    <col min="18" max="18" width="12.140625" customWidth="1"/>
    <col min="19" max="20" width="1.7109375" customWidth="1"/>
    <col min="21" max="21" width="13.5703125" bestFit="1" customWidth="1"/>
    <col min="22" max="22" width="1.7109375" customWidth="1"/>
  </cols>
  <sheetData>
    <row r="1" spans="1:22" ht="7.5" customHeight="1">
      <c r="A1" s="51"/>
      <c r="B1" s="51"/>
      <c r="C1" s="51"/>
      <c r="D1" s="51"/>
      <c r="E1" s="51"/>
      <c r="F1" s="62"/>
      <c r="G1" s="62"/>
      <c r="H1" s="62"/>
      <c r="I1" s="51"/>
      <c r="J1" s="51"/>
      <c r="K1" s="51"/>
      <c r="L1" s="62"/>
      <c r="M1" s="62"/>
      <c r="N1" s="62"/>
      <c r="P1" s="74"/>
      <c r="Q1" s="75"/>
      <c r="R1" s="75"/>
      <c r="S1" s="75"/>
      <c r="T1" s="76"/>
      <c r="U1" s="74"/>
    </row>
    <row r="2" spans="1:22" s="48" customFormat="1">
      <c r="A2" s="49"/>
      <c r="B2" s="49"/>
      <c r="C2" s="49"/>
      <c r="D2" s="49">
        <v>2014</v>
      </c>
      <c r="E2" s="49"/>
      <c r="F2" s="56"/>
      <c r="G2" s="56">
        <v>2015</v>
      </c>
      <c r="H2" s="56"/>
      <c r="I2" s="49"/>
      <c r="J2" s="49" t="s">
        <v>107</v>
      </c>
      <c r="K2" s="49"/>
      <c r="L2" s="56"/>
      <c r="M2" s="56" t="s">
        <v>120</v>
      </c>
      <c r="N2" s="56"/>
      <c r="P2" s="74"/>
      <c r="Q2" s="75"/>
      <c r="R2" s="75" t="s">
        <v>120</v>
      </c>
      <c r="S2" s="75"/>
      <c r="T2" s="76"/>
      <c r="U2" s="74" t="s">
        <v>95</v>
      </c>
      <c r="V2" s="51"/>
    </row>
    <row r="3" spans="1:22">
      <c r="A3" s="50" t="s">
        <v>88</v>
      </c>
      <c r="B3" s="51"/>
      <c r="C3" s="51"/>
      <c r="D3" s="51"/>
      <c r="E3" s="51"/>
      <c r="F3" s="57"/>
      <c r="G3" s="57"/>
      <c r="H3" s="57"/>
      <c r="I3" s="51"/>
      <c r="J3" s="51"/>
      <c r="K3" s="51"/>
      <c r="L3" s="57"/>
      <c r="M3" s="57"/>
      <c r="N3" s="57"/>
      <c r="P3" s="51"/>
      <c r="Q3" s="57"/>
      <c r="R3" s="57"/>
      <c r="S3" s="57"/>
      <c r="T3" s="51"/>
      <c r="U3" s="51"/>
      <c r="V3" s="51"/>
    </row>
    <row r="4" spans="1:22">
      <c r="A4" s="51"/>
      <c r="B4" s="51" t="s">
        <v>83</v>
      </c>
      <c r="C4" s="51"/>
      <c r="D4" s="52">
        <f>'P&amp;L'!I10+'P&amp;L'!I11</f>
        <v>39484.82</v>
      </c>
      <c r="E4" s="52"/>
      <c r="F4" s="58"/>
      <c r="G4" s="58">
        <f>'P&amp;L'!F10+'P&amp;L'!F11</f>
        <v>39328.080000000002</v>
      </c>
      <c r="H4" s="58"/>
      <c r="I4" s="51"/>
      <c r="J4" s="52">
        <v>40350</v>
      </c>
      <c r="K4" s="52"/>
      <c r="L4" s="58"/>
      <c r="M4" s="58">
        <f>'[1]Budget 2016'!$I$23+'[1]Budget 2016'!$I$27</f>
        <v>42335</v>
      </c>
      <c r="N4" s="58"/>
      <c r="P4" s="51" t="s">
        <v>121</v>
      </c>
      <c r="Q4" s="64"/>
      <c r="R4" s="64">
        <v>26000</v>
      </c>
      <c r="S4" s="64"/>
      <c r="T4" s="51"/>
      <c r="U4" s="63">
        <f>R4/190</f>
        <v>136.84210526315789</v>
      </c>
      <c r="V4" s="51"/>
    </row>
    <row r="5" spans="1:22">
      <c r="A5" s="51"/>
      <c r="B5" s="51" t="s">
        <v>81</v>
      </c>
      <c r="C5" s="51"/>
      <c r="D5" s="52">
        <f>'P&amp;L'!I18</f>
        <v>6881.5300000000007</v>
      </c>
      <c r="E5" s="52"/>
      <c r="F5" s="58"/>
      <c r="G5" s="58">
        <f>'P&amp;L'!F18</f>
        <v>9430.5</v>
      </c>
      <c r="H5" s="58"/>
      <c r="I5" s="51"/>
      <c r="J5" s="52">
        <v>50000</v>
      </c>
      <c r="K5" s="52"/>
      <c r="L5" s="58"/>
      <c r="M5" s="58">
        <f>'[1]Budget 2016'!$I$28</f>
        <v>50000</v>
      </c>
      <c r="N5" s="58"/>
      <c r="P5" s="51" t="s">
        <v>56</v>
      </c>
      <c r="Q5" s="64"/>
      <c r="R5" s="64">
        <f t="shared" ref="R5:R9" si="0">-VLOOKUP(P5,B:M,12,FALSE)</f>
        <v>4650</v>
      </c>
      <c r="S5" s="64"/>
      <c r="T5" s="51"/>
      <c r="U5" s="63">
        <f t="shared" ref="U5:U11" si="1">R5/190</f>
        <v>24.473684210526315</v>
      </c>
      <c r="V5" s="51"/>
    </row>
    <row r="6" spans="1:22">
      <c r="A6" s="51"/>
      <c r="B6" s="51" t="s">
        <v>19</v>
      </c>
      <c r="C6" s="51"/>
      <c r="D6" s="52">
        <f>'P&amp;L'!I12</f>
        <v>1224.23</v>
      </c>
      <c r="E6" s="52"/>
      <c r="F6" s="58"/>
      <c r="G6" s="58">
        <f>'P&amp;L'!F12</f>
        <v>1066.4379999999999</v>
      </c>
      <c r="H6" s="58"/>
      <c r="I6" s="51"/>
      <c r="J6" s="52">
        <v>1000</v>
      </c>
      <c r="K6" s="52"/>
      <c r="L6" s="58"/>
      <c r="M6" s="58">
        <f>'[1]Budget 2016'!$I$24</f>
        <v>1000</v>
      </c>
      <c r="N6" s="58"/>
      <c r="P6" s="51" t="s">
        <v>53</v>
      </c>
      <c r="Q6" s="64"/>
      <c r="R6" s="64">
        <f t="shared" si="0"/>
        <v>2000</v>
      </c>
      <c r="S6" s="64"/>
      <c r="T6" s="51"/>
      <c r="U6" s="63">
        <f t="shared" si="1"/>
        <v>10.526315789473685</v>
      </c>
      <c r="V6" s="51"/>
    </row>
    <row r="7" spans="1:22">
      <c r="A7" s="51"/>
      <c r="B7" s="51" t="s">
        <v>91</v>
      </c>
      <c r="C7" s="51"/>
      <c r="D7" s="52">
        <f>'Cash Flow'!I18</f>
        <v>0</v>
      </c>
      <c r="E7" s="52"/>
      <c r="F7" s="57"/>
      <c r="G7" s="58">
        <f>'Cash Flow'!F18</f>
        <v>2700</v>
      </c>
      <c r="H7" s="58"/>
      <c r="I7" s="51"/>
      <c r="J7" s="51">
        <v>0</v>
      </c>
      <c r="K7" s="51"/>
      <c r="L7" s="57"/>
      <c r="M7" s="57">
        <v>0</v>
      </c>
      <c r="N7" s="57"/>
      <c r="P7" s="51" t="s">
        <v>89</v>
      </c>
      <c r="Q7" s="64"/>
      <c r="R7" s="64">
        <f t="shared" si="0"/>
        <v>3300</v>
      </c>
      <c r="S7" s="64"/>
      <c r="T7" s="51"/>
      <c r="U7" s="63">
        <f t="shared" si="1"/>
        <v>17.368421052631579</v>
      </c>
      <c r="V7" s="51"/>
    </row>
    <row r="8" spans="1:22">
      <c r="A8" s="51"/>
      <c r="B8" s="51" t="s">
        <v>84</v>
      </c>
      <c r="C8" s="51"/>
      <c r="D8" s="52">
        <f>'P&amp;L'!I16</f>
        <v>1675.84</v>
      </c>
      <c r="E8" s="52"/>
      <c r="F8" s="58"/>
      <c r="G8" s="58">
        <f>'P&amp;L'!F16</f>
        <v>1962.29</v>
      </c>
      <c r="H8" s="58"/>
      <c r="I8" s="51"/>
      <c r="J8" s="52">
        <v>2000</v>
      </c>
      <c r="K8" s="52"/>
      <c r="L8" s="58"/>
      <c r="M8" s="58">
        <f>'[1]Budget 2016'!$I$30</f>
        <v>2000</v>
      </c>
      <c r="N8" s="58"/>
      <c r="P8" s="51" t="s">
        <v>54</v>
      </c>
      <c r="Q8" s="64"/>
      <c r="R8" s="64">
        <f t="shared" si="0"/>
        <v>1000</v>
      </c>
      <c r="S8" s="64"/>
      <c r="T8" s="51"/>
      <c r="U8" s="63">
        <f t="shared" si="1"/>
        <v>5.2631578947368425</v>
      </c>
      <c r="V8" s="51"/>
    </row>
    <row r="9" spans="1:22">
      <c r="A9" s="51"/>
      <c r="B9" s="51" t="s">
        <v>48</v>
      </c>
      <c r="C9" s="51"/>
      <c r="D9" s="52">
        <f>'P&amp;L'!I14</f>
        <v>500</v>
      </c>
      <c r="E9" s="52"/>
      <c r="F9" s="58"/>
      <c r="G9" s="58">
        <f>'P&amp;L'!F14</f>
        <v>500</v>
      </c>
      <c r="H9" s="58"/>
      <c r="I9" s="51"/>
      <c r="J9" s="52">
        <v>500</v>
      </c>
      <c r="K9" s="52"/>
      <c r="L9" s="58"/>
      <c r="M9" s="58">
        <f>'[1]Budget 2016'!$G$25</f>
        <v>500</v>
      </c>
      <c r="N9" s="58"/>
      <c r="P9" s="51" t="s">
        <v>58</v>
      </c>
      <c r="Q9" s="64"/>
      <c r="R9" s="64">
        <f t="shared" si="0"/>
        <v>2500</v>
      </c>
      <c r="S9" s="64"/>
      <c r="T9" s="51"/>
      <c r="U9" s="63">
        <f t="shared" si="1"/>
        <v>13.157894736842104</v>
      </c>
      <c r="V9" s="51"/>
    </row>
    <row r="10" spans="1:22">
      <c r="A10" s="51"/>
      <c r="B10" s="51" t="s">
        <v>85</v>
      </c>
      <c r="C10" s="51"/>
      <c r="D10" s="53">
        <f>D11-SUM(D4:D9)</f>
        <v>4000</v>
      </c>
      <c r="E10" s="71"/>
      <c r="F10" s="69"/>
      <c r="G10" s="59">
        <f>G11-SUM(G4:G9)</f>
        <v>8935.0899999999965</v>
      </c>
      <c r="H10" s="69"/>
      <c r="I10" s="51"/>
      <c r="J10" s="53">
        <v>0</v>
      </c>
      <c r="K10" s="71"/>
      <c r="L10" s="69"/>
      <c r="M10" s="59">
        <f>'[1]Budget 2016'!$I$33-SUM(M4:M9)</f>
        <v>1000</v>
      </c>
      <c r="N10" s="69"/>
      <c r="P10" s="51" t="s">
        <v>85</v>
      </c>
      <c r="Q10" s="73"/>
      <c r="R10" s="65">
        <f>-M21-M22-M23</f>
        <v>4635</v>
      </c>
      <c r="S10" s="73"/>
      <c r="T10" s="51"/>
      <c r="U10" s="68">
        <f t="shared" si="1"/>
        <v>24.394736842105264</v>
      </c>
      <c r="V10" s="51"/>
    </row>
    <row r="11" spans="1:22">
      <c r="A11" s="51"/>
      <c r="B11" s="51"/>
      <c r="C11" s="51"/>
      <c r="D11" s="54">
        <f>'P&amp;L'!I21-'P&amp;L'!I17+'Cash Flow'!I18</f>
        <v>53766.42</v>
      </c>
      <c r="E11" s="54"/>
      <c r="F11" s="60"/>
      <c r="G11" s="60">
        <f>'P&amp;L'!F21-'P&amp;L'!F17+'Cash Flow'!F18</f>
        <v>63922.398000000001</v>
      </c>
      <c r="H11" s="60"/>
      <c r="I11" s="51"/>
      <c r="J11" s="54">
        <f>SUM(J4:J10)</f>
        <v>93850</v>
      </c>
      <c r="K11" s="54"/>
      <c r="L11" s="60"/>
      <c r="M11" s="60">
        <f>SUM(M4:M10)</f>
        <v>96835</v>
      </c>
      <c r="N11" s="60"/>
      <c r="P11" s="51"/>
      <c r="Q11" s="66"/>
      <c r="R11" s="66">
        <f>SUM(R4:R10)</f>
        <v>44085</v>
      </c>
      <c r="S11" s="66"/>
      <c r="T11" s="51"/>
      <c r="U11" s="67">
        <f t="shared" si="1"/>
        <v>232.02631578947367</v>
      </c>
      <c r="V11" s="51"/>
    </row>
    <row r="12" spans="1:22">
      <c r="A12" s="50" t="s">
        <v>92</v>
      </c>
      <c r="B12" s="51"/>
      <c r="C12" s="51"/>
      <c r="D12" s="51"/>
      <c r="E12" s="51"/>
      <c r="F12" s="57"/>
      <c r="G12" s="57"/>
      <c r="H12" s="57"/>
      <c r="I12" s="51"/>
      <c r="J12" s="51"/>
      <c r="K12" s="51"/>
      <c r="L12" s="57"/>
      <c r="M12" s="57"/>
      <c r="N12" s="57"/>
      <c r="P12" s="51"/>
      <c r="Q12" s="64"/>
      <c r="R12" s="64"/>
      <c r="S12" s="64"/>
      <c r="T12" s="51"/>
      <c r="U12" s="51"/>
      <c r="V12" s="51"/>
    </row>
    <row r="13" spans="1:22">
      <c r="A13" s="51"/>
      <c r="B13" s="51" t="s">
        <v>86</v>
      </c>
      <c r="C13" s="51"/>
      <c r="D13" s="52">
        <f>-'Fixed Assets'!H18-D14</f>
        <v>-8983.2000000000025</v>
      </c>
      <c r="E13" s="52"/>
      <c r="F13" s="58"/>
      <c r="G13" s="58">
        <f>-'Fixed Assets'!E18-G14</f>
        <v>-5466.57</v>
      </c>
      <c r="H13" s="58"/>
      <c r="I13" s="51"/>
      <c r="J13" s="52">
        <v>-8000</v>
      </c>
      <c r="K13" s="52"/>
      <c r="L13" s="58"/>
      <c r="M13" s="58">
        <f>'[1]Budget 2016'!$I$3*-1</f>
        <v>-19000</v>
      </c>
      <c r="N13" s="58"/>
      <c r="V13" s="51"/>
    </row>
    <row r="14" spans="1:22">
      <c r="A14" s="51"/>
      <c r="B14" s="51" t="s">
        <v>87</v>
      </c>
      <c r="C14" s="51"/>
      <c r="D14" s="52">
        <f>-'Fixed Assets'!H16-'Fixed Assets'!H17</f>
        <v>-14133.88</v>
      </c>
      <c r="E14" s="52"/>
      <c r="F14" s="58"/>
      <c r="G14" s="58">
        <f>-'Fixed Assets'!E16-'Fixed Assets'!E17</f>
        <v>-12549</v>
      </c>
      <c r="H14" s="58"/>
      <c r="I14" s="51"/>
      <c r="J14" s="52">
        <v>-15000</v>
      </c>
      <c r="K14" s="52"/>
      <c r="L14" s="58"/>
      <c r="M14" s="58">
        <f>-'[1]Budget 2016'!$I$9</f>
        <v>-20000</v>
      </c>
      <c r="N14" s="58"/>
    </row>
    <row r="15" spans="1:22">
      <c r="A15" s="51"/>
      <c r="B15" s="51" t="s">
        <v>56</v>
      </c>
      <c r="C15" s="51"/>
      <c r="D15" s="52">
        <f>-'P&amp;L'!H28</f>
        <v>-4117.4799999999996</v>
      </c>
      <c r="E15" s="52"/>
      <c r="F15" s="58"/>
      <c r="G15" s="58">
        <f>-'P&amp;L'!E28</f>
        <v>-4503.57</v>
      </c>
      <c r="H15" s="58"/>
      <c r="I15" s="51"/>
      <c r="J15" s="52">
        <v>-4500</v>
      </c>
      <c r="K15" s="52"/>
      <c r="L15" s="58"/>
      <c r="M15" s="58">
        <f>-'[1]Budget 2016'!$I$8</f>
        <v>-4650</v>
      </c>
      <c r="N15" s="58"/>
    </row>
    <row r="16" spans="1:22">
      <c r="A16" s="51"/>
      <c r="B16" s="51" t="s">
        <v>53</v>
      </c>
      <c r="C16" s="51"/>
      <c r="D16" s="52">
        <f>-'P&amp;L'!H25</f>
        <v>-3298.48</v>
      </c>
      <c r="E16" s="52"/>
      <c r="F16" s="58"/>
      <c r="G16" s="58">
        <f>-'P&amp;L'!E25</f>
        <v>-3852.29</v>
      </c>
      <c r="H16" s="58"/>
      <c r="I16" s="51"/>
      <c r="J16" s="52">
        <v>-2075</v>
      </c>
      <c r="K16" s="52"/>
      <c r="L16" s="58"/>
      <c r="M16" s="58">
        <f>-'[1]Budget 2016'!$I$4</f>
        <v>-2000</v>
      </c>
      <c r="N16" s="58"/>
    </row>
    <row r="17" spans="1:14">
      <c r="A17" s="51"/>
      <c r="B17" s="51" t="s">
        <v>54</v>
      </c>
      <c r="C17" s="51"/>
      <c r="D17" s="52">
        <f>-'P&amp;L'!H26</f>
        <v>-965.28</v>
      </c>
      <c r="E17" s="52"/>
      <c r="F17" s="58"/>
      <c r="G17" s="58">
        <f>-'P&amp;L'!E26</f>
        <v>-844.2</v>
      </c>
      <c r="H17" s="58"/>
      <c r="I17" s="51"/>
      <c r="J17" s="52">
        <v>-1000</v>
      </c>
      <c r="K17" s="52"/>
      <c r="L17" s="58"/>
      <c r="M17" s="58">
        <f>-'[1]Budget 2016'!$I$5</f>
        <v>-1000</v>
      </c>
      <c r="N17" s="58"/>
    </row>
    <row r="18" spans="1:14">
      <c r="A18" s="51"/>
      <c r="B18" s="51" t="s">
        <v>57</v>
      </c>
      <c r="C18" s="51"/>
      <c r="D18" s="52">
        <f>-'P&amp;L'!H29</f>
        <v>-5380.35</v>
      </c>
      <c r="E18" s="52"/>
      <c r="F18" s="58"/>
      <c r="G18" s="58">
        <f>-'P&amp;L'!E29</f>
        <v>-862.3</v>
      </c>
      <c r="H18" s="58"/>
      <c r="I18" s="51"/>
      <c r="J18" s="52">
        <v>-3000</v>
      </c>
      <c r="K18" s="52"/>
      <c r="L18" s="58"/>
      <c r="M18" s="58">
        <f>-'[1]Budget 2016'!$I$10</f>
        <v>-1000</v>
      </c>
      <c r="N18" s="58"/>
    </row>
    <row r="19" spans="1:14">
      <c r="A19" s="51"/>
      <c r="B19" s="51" t="s">
        <v>89</v>
      </c>
      <c r="C19" s="51"/>
      <c r="D19" s="52">
        <f>-'P&amp;L'!H24-'P&amp;L'!H27</f>
        <v>-2660.08</v>
      </c>
      <c r="E19" s="52"/>
      <c r="F19" s="58"/>
      <c r="G19" s="58">
        <f>-'P&amp;L'!E24-'P&amp;L'!E27</f>
        <v>-2868.3199999999997</v>
      </c>
      <c r="H19" s="58"/>
      <c r="I19" s="51"/>
      <c r="J19" s="52">
        <v>-3200</v>
      </c>
      <c r="K19" s="52"/>
      <c r="L19" s="58"/>
      <c r="M19" s="58">
        <f>-'[1]Budget 2016'!$I$6-'[1]Budget 2016'!$I$7</f>
        <v>-3300</v>
      </c>
      <c r="N19" s="58"/>
    </row>
    <row r="20" spans="1:14">
      <c r="A20" s="51"/>
      <c r="B20" s="51" t="s">
        <v>58</v>
      </c>
      <c r="C20" s="51"/>
      <c r="D20" s="52">
        <f>-'P&amp;L'!H30</f>
        <v>-2751.17</v>
      </c>
      <c r="E20" s="52"/>
      <c r="F20" s="58"/>
      <c r="G20" s="58">
        <f>-'P&amp;L'!E30</f>
        <v>-2679.48</v>
      </c>
      <c r="H20" s="58"/>
      <c r="I20" s="51"/>
      <c r="J20" s="52">
        <v>-2400</v>
      </c>
      <c r="K20" s="52"/>
      <c r="L20" s="58"/>
      <c r="M20" s="58">
        <f>-'[1]Budget 2016'!$I$11</f>
        <v>-2500</v>
      </c>
      <c r="N20" s="58"/>
    </row>
    <row r="21" spans="1:14">
      <c r="A21" s="51"/>
      <c r="B21" s="51" t="s">
        <v>61</v>
      </c>
      <c r="C21" s="51"/>
      <c r="D21" s="52">
        <f>-'P&amp;L'!H35</f>
        <v>-1863.36</v>
      </c>
      <c r="E21" s="52"/>
      <c r="F21" s="58"/>
      <c r="G21" s="58">
        <f>-'P&amp;L'!E35</f>
        <v>-1663.74</v>
      </c>
      <c r="H21" s="58"/>
      <c r="I21" s="51"/>
      <c r="J21" s="52">
        <v>-1900</v>
      </c>
      <c r="K21" s="52"/>
      <c r="L21" s="58"/>
      <c r="M21" s="58">
        <f>-'[1]Budget 2016'!$I$16</f>
        <v>-1600</v>
      </c>
      <c r="N21" s="58"/>
    </row>
    <row r="22" spans="1:14">
      <c r="A22" s="51"/>
      <c r="B22" s="51" t="s">
        <v>90</v>
      </c>
      <c r="C22" s="51"/>
      <c r="D22" s="52">
        <f>-SUM('P&amp;L'!H31:H34)</f>
        <v>-1472.8200000000002</v>
      </c>
      <c r="E22" s="52"/>
      <c r="F22" s="58"/>
      <c r="G22" s="58">
        <f>-SUM('P&amp;L'!E31:E34)</f>
        <v>-1341.0700000000002</v>
      </c>
      <c r="H22" s="58"/>
      <c r="I22" s="51"/>
      <c r="J22" s="52">
        <v>-1170</v>
      </c>
      <c r="K22" s="52"/>
      <c r="L22" s="58"/>
      <c r="M22" s="58">
        <f>-'[1]Budget 2016'!$I$13-'[1]Budget 2016'!$I$12-'[1]Budget 2016'!$I$14</f>
        <v>-1525</v>
      </c>
      <c r="N22" s="58"/>
    </row>
    <row r="23" spans="1:14">
      <c r="A23" s="51"/>
      <c r="B23" s="51" t="s">
        <v>85</v>
      </c>
      <c r="C23" s="51"/>
      <c r="D23" s="53">
        <f>'P&amp;L'!I39+'P&amp;L'!H36-SUM(D15:D22)</f>
        <v>-1335.760000000002</v>
      </c>
      <c r="E23" s="71"/>
      <c r="F23" s="69"/>
      <c r="G23" s="59">
        <f>'P&amp;L'!F39+'P&amp;L'!E36-SUM(G15:G22)</f>
        <v>-1533.4300000000003</v>
      </c>
      <c r="H23" s="69"/>
      <c r="I23" s="51"/>
      <c r="J23" s="53">
        <v>-1604.9000000000015</v>
      </c>
      <c r="K23" s="71"/>
      <c r="L23" s="69"/>
      <c r="M23" s="59">
        <f>-'[1]Budget 2016'!$I$20-SUM(M13:M22)</f>
        <v>-1510</v>
      </c>
      <c r="N23" s="69"/>
    </row>
    <row r="24" spans="1:14">
      <c r="A24" s="51"/>
      <c r="B24" s="51"/>
      <c r="C24" s="51"/>
      <c r="D24" s="54">
        <f>SUM(D13:D23)</f>
        <v>-46961.86</v>
      </c>
      <c r="E24" s="54"/>
      <c r="F24" s="60"/>
      <c r="G24" s="60">
        <f>SUM(G13:G23)</f>
        <v>-38163.97</v>
      </c>
      <c r="H24" s="60"/>
      <c r="I24" s="51"/>
      <c r="J24" s="54">
        <f>SUM(J13:J23)</f>
        <v>-43849.9</v>
      </c>
      <c r="K24" s="54"/>
      <c r="L24" s="60"/>
      <c r="M24" s="60">
        <f>SUM(M13:M23)</f>
        <v>-58085</v>
      </c>
      <c r="N24" s="60"/>
    </row>
    <row r="25" spans="1:14" ht="7.5" customHeight="1">
      <c r="A25" s="51"/>
      <c r="B25" s="51"/>
      <c r="C25" s="51"/>
      <c r="D25" s="51"/>
      <c r="E25" s="51"/>
      <c r="F25" s="57"/>
      <c r="G25" s="57"/>
      <c r="H25" s="57"/>
      <c r="I25" s="51"/>
      <c r="J25" s="51"/>
      <c r="K25" s="51"/>
      <c r="L25" s="57"/>
      <c r="M25" s="57"/>
      <c r="N25" s="57"/>
    </row>
    <row r="26" spans="1:14">
      <c r="A26" s="51"/>
      <c r="B26" s="51" t="s">
        <v>93</v>
      </c>
      <c r="C26" s="51"/>
      <c r="D26" s="52">
        <f>SUM('Cash Flow'!H11:H13)</f>
        <v>4474.4500000000007</v>
      </c>
      <c r="E26" s="52"/>
      <c r="F26" s="57"/>
      <c r="G26" s="58">
        <f>SUM('Cash Flow'!E11:E13)</f>
        <v>-2379.8899999999994</v>
      </c>
      <c r="H26" s="58"/>
      <c r="I26" s="51"/>
      <c r="J26" s="51">
        <v>0</v>
      </c>
      <c r="K26" s="51"/>
      <c r="L26" s="57"/>
      <c r="M26" s="57">
        <v>0</v>
      </c>
      <c r="N26" s="57"/>
    </row>
    <row r="27" spans="1:14" ht="7.5" customHeight="1">
      <c r="A27" s="51"/>
      <c r="B27" s="51"/>
      <c r="C27" s="51"/>
      <c r="D27" s="51"/>
      <c r="E27" s="51"/>
      <c r="F27" s="57"/>
      <c r="G27" s="57"/>
      <c r="H27" s="57"/>
      <c r="I27" s="51"/>
      <c r="J27" s="51"/>
      <c r="K27" s="51"/>
      <c r="L27" s="57"/>
      <c r="M27" s="57"/>
      <c r="N27" s="57"/>
    </row>
    <row r="28" spans="1:14" ht="15.75" thickBot="1">
      <c r="A28" s="50" t="s">
        <v>94</v>
      </c>
      <c r="B28" s="51"/>
      <c r="C28" s="51"/>
      <c r="D28" s="55">
        <f>D11+D24+D26</f>
        <v>11279.009999999998</v>
      </c>
      <c r="E28" s="72"/>
      <c r="F28" s="70"/>
      <c r="G28" s="61">
        <f>G11+G24+G26</f>
        <v>23378.538</v>
      </c>
      <c r="H28" s="70"/>
      <c r="I28" s="51"/>
      <c r="J28" s="55">
        <f>J11+J24+J26</f>
        <v>50000.1</v>
      </c>
      <c r="K28" s="72"/>
      <c r="L28" s="70"/>
      <c r="M28" s="61">
        <f>M11+M24+M26</f>
        <v>38750</v>
      </c>
      <c r="N28" s="70"/>
    </row>
    <row r="29" spans="1:14" ht="7.5" customHeight="1">
      <c r="A29" s="51"/>
      <c r="B29" s="51"/>
      <c r="C29" s="51"/>
      <c r="D29" s="51"/>
      <c r="E29" s="51"/>
      <c r="F29" s="62"/>
      <c r="G29" s="62"/>
      <c r="H29" s="62"/>
      <c r="I29" s="51"/>
      <c r="J29" s="51"/>
      <c r="K29" s="51"/>
      <c r="L29" s="62"/>
      <c r="M29" s="62"/>
      <c r="N29" s="62"/>
    </row>
    <row r="30" spans="1:14">
      <c r="D30" s="12">
        <f>D28-'Cash Flow'!I24</f>
        <v>0</v>
      </c>
      <c r="E30" s="12"/>
      <c r="G30" s="12">
        <f>G28-'Cash Flow'!F24</f>
        <v>-1.999999993131496E-3</v>
      </c>
      <c r="H30" s="12"/>
    </row>
  </sheetData>
  <pageMargins left="0.7" right="0.7" top="0.75" bottom="0.75" header="0.3" footer="0.3"/>
  <pageSetup paperSize="9" scale="8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9"/>
  <sheetViews>
    <sheetView workbookViewId="0">
      <selection activeCell="D8" sqref="D8"/>
    </sheetView>
  </sheetViews>
  <sheetFormatPr defaultRowHeight="15"/>
  <cols>
    <col min="1" max="1" width="2.85546875" style="25" customWidth="1"/>
    <col min="2" max="2" width="17.140625" style="25" customWidth="1"/>
    <col min="3" max="3" width="2.85546875" style="25" customWidth="1"/>
    <col min="4" max="4" width="11.42578125" style="20" customWidth="1"/>
    <col min="5" max="5" width="2.85546875" style="20" customWidth="1"/>
    <col min="6" max="6" width="11.42578125" style="20" customWidth="1"/>
    <col min="7" max="7" width="2.85546875" style="20" customWidth="1"/>
    <col min="8" max="8" width="11.42578125" style="20" customWidth="1"/>
    <col min="9" max="16384" width="9.140625" style="25"/>
  </cols>
  <sheetData>
    <row r="2" spans="1:11" s="35" customFormat="1" ht="30">
      <c r="D2" s="36" t="s">
        <v>3</v>
      </c>
      <c r="E2" s="36"/>
      <c r="F2" s="36" t="s">
        <v>4</v>
      </c>
      <c r="G2" s="36"/>
      <c r="H2" s="36" t="s">
        <v>5</v>
      </c>
    </row>
    <row r="3" spans="1:11">
      <c r="A3" s="24" t="s">
        <v>0</v>
      </c>
    </row>
    <row r="4" spans="1:11">
      <c r="B4" s="25" t="s">
        <v>1</v>
      </c>
      <c r="D4" s="80">
        <f>[2]Cash!$D$5</f>
        <v>37287.300000000003</v>
      </c>
      <c r="K4" s="20"/>
    </row>
    <row r="5" spans="1:11">
      <c r="B5" s="25" t="s">
        <v>2</v>
      </c>
      <c r="D5" s="21">
        <v>60121.919999999998</v>
      </c>
      <c r="F5" s="21"/>
      <c r="H5" s="21"/>
    </row>
    <row r="6" spans="1:11">
      <c r="F6" s="20">
        <f>D5</f>
        <v>60121.919999999998</v>
      </c>
      <c r="H6" s="20">
        <f>D5-D4</f>
        <v>22834.619999999995</v>
      </c>
    </row>
    <row r="7" spans="1:11">
      <c r="A7" s="24" t="s">
        <v>6</v>
      </c>
    </row>
    <row r="8" spans="1:11">
      <c r="B8" s="25" t="s">
        <v>1</v>
      </c>
      <c r="D8" s="80">
        <f>[2]Cash!$D$9</f>
        <v>155</v>
      </c>
    </row>
    <row r="9" spans="1:11">
      <c r="B9" s="25" t="s">
        <v>2</v>
      </c>
      <c r="D9" s="21">
        <v>605</v>
      </c>
      <c r="F9" s="21"/>
      <c r="H9" s="21"/>
    </row>
    <row r="10" spans="1:11">
      <c r="F10" s="20">
        <f>D9</f>
        <v>605</v>
      </c>
      <c r="H10" s="20">
        <f>D9-D8</f>
        <v>450</v>
      </c>
    </row>
    <row r="11" spans="1:11">
      <c r="A11" s="24" t="s">
        <v>7</v>
      </c>
    </row>
    <row r="12" spans="1:11">
      <c r="B12" s="25" t="s">
        <v>8</v>
      </c>
      <c r="D12" s="80">
        <f>[2]Cash!$D$13</f>
        <v>120.95</v>
      </c>
    </row>
    <row r="13" spans="1:11">
      <c r="B13" s="25" t="s">
        <v>9</v>
      </c>
      <c r="D13" s="20">
        <v>128.38999999999999</v>
      </c>
    </row>
    <row r="14" spans="1:11">
      <c r="B14" s="25" t="s">
        <v>10</v>
      </c>
      <c r="D14" s="80">
        <f>[2]Cash!$D$15</f>
        <v>45.96</v>
      </c>
    </row>
    <row r="15" spans="1:11">
      <c r="B15" s="25" t="s">
        <v>11</v>
      </c>
      <c r="D15" s="21">
        <v>132.44</v>
      </c>
      <c r="F15" s="21"/>
      <c r="H15" s="21"/>
    </row>
    <row r="16" spans="1:11">
      <c r="F16" s="20">
        <f>D13+D15</f>
        <v>260.83</v>
      </c>
      <c r="H16" s="20">
        <f>D13-D12+D15-D14</f>
        <v>93.919999999999987</v>
      </c>
    </row>
    <row r="18" spans="1:8" s="24" customFormat="1" ht="15.75" thickBot="1">
      <c r="A18" s="24" t="s">
        <v>12</v>
      </c>
      <c r="D18" s="33"/>
      <c r="E18" s="33"/>
      <c r="F18" s="34">
        <f>F6+F10+F16</f>
        <v>60987.75</v>
      </c>
      <c r="G18" s="33"/>
      <c r="H18" s="34">
        <f>H6+H10+H16</f>
        <v>23378.539999999994</v>
      </c>
    </row>
    <row r="19" spans="1:8" ht="15.75" thickTop="1"/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3"/>
  <sheetViews>
    <sheetView workbookViewId="0">
      <selection activeCell="C10" sqref="C10"/>
    </sheetView>
  </sheetViews>
  <sheetFormatPr defaultRowHeight="15"/>
  <cols>
    <col min="1" max="1" width="22.7109375" style="25" bestFit="1" customWidth="1"/>
    <col min="2" max="2" width="2.85546875" style="25" customWidth="1"/>
    <col min="3" max="3" width="12.85546875" style="20" customWidth="1"/>
    <col min="4" max="4" width="2.85546875" style="20" customWidth="1"/>
    <col min="5" max="5" width="12.85546875" style="20" customWidth="1"/>
    <col min="6" max="6" width="2.85546875" style="20" customWidth="1"/>
    <col min="7" max="7" width="12.85546875" style="20" customWidth="1"/>
    <col min="8" max="16384" width="9.140625" style="25"/>
  </cols>
  <sheetData>
    <row r="2" spans="1:7" s="22" customFormat="1">
      <c r="C2" s="32" t="s">
        <v>16</v>
      </c>
      <c r="D2" s="32"/>
      <c r="E2" s="32" t="s">
        <v>17</v>
      </c>
      <c r="F2" s="32"/>
      <c r="G2" s="32" t="s">
        <v>13</v>
      </c>
    </row>
    <row r="4" spans="1:7">
      <c r="A4" s="25" t="s">
        <v>1</v>
      </c>
      <c r="E4" s="80">
        <f>Cash!D12+Cash!D14+Cash!D8</f>
        <v>321.90999999999997</v>
      </c>
    </row>
    <row r="5" spans="1:7">
      <c r="A5" s="25" t="s">
        <v>2</v>
      </c>
      <c r="C5" s="80">
        <f>Cash!D13+Cash!D15+Cash!D9</f>
        <v>865.82999999999993</v>
      </c>
      <c r="G5" s="20">
        <f>C5-E4</f>
        <v>543.91999999999996</v>
      </c>
    </row>
    <row r="7" spans="1:7">
      <c r="A7" s="25" t="s">
        <v>14</v>
      </c>
      <c r="E7" s="80">
        <f>[2]Bar!$C$8</f>
        <v>1273.9000000000001</v>
      </c>
    </row>
    <row r="8" spans="1:7">
      <c r="A8" s="25" t="s">
        <v>15</v>
      </c>
      <c r="C8" s="20">
        <v>1435.2</v>
      </c>
      <c r="G8" s="20">
        <f>C8-E7</f>
        <v>161.29999999999995</v>
      </c>
    </row>
    <row r="10" spans="1:7">
      <c r="A10" s="25" t="s">
        <v>18</v>
      </c>
      <c r="C10" s="20">
        <f>'[1]December 2015'!$G$24+52.86</f>
        <v>361.21800000000002</v>
      </c>
      <c r="G10" s="21">
        <f>C10</f>
        <v>361.21800000000002</v>
      </c>
    </row>
    <row r="12" spans="1:7" s="24" customFormat="1" ht="15.75" thickBot="1">
      <c r="A12" s="24" t="s">
        <v>19</v>
      </c>
      <c r="C12" s="33"/>
      <c r="D12" s="33"/>
      <c r="E12" s="33"/>
      <c r="F12" s="33"/>
      <c r="G12" s="34">
        <f>SUM(G5:G10)</f>
        <v>1066.4379999999999</v>
      </c>
    </row>
    <row r="13" spans="1:7" ht="15.75" thickTop="1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E30"/>
  <sheetViews>
    <sheetView topLeftCell="A2" workbookViewId="0">
      <selection activeCell="G2" sqref="G1:G1048576"/>
    </sheetView>
  </sheetViews>
  <sheetFormatPr defaultRowHeight="15"/>
  <cols>
    <col min="1" max="1" width="22.5703125" bestFit="1" customWidth="1"/>
    <col min="3" max="3" width="10.7109375" customWidth="1"/>
    <col min="4" max="4" width="2.85546875" customWidth="1"/>
    <col min="5" max="5" width="10.7109375" customWidth="1"/>
  </cols>
  <sheetData>
    <row r="2" spans="1:5" s="4" customFormat="1" ht="45">
      <c r="C2" s="4" t="s">
        <v>110</v>
      </c>
      <c r="E2" s="4" t="s">
        <v>102</v>
      </c>
    </row>
    <row r="3" spans="1:5">
      <c r="C3" s="2"/>
      <c r="D3" s="2"/>
      <c r="E3" s="2"/>
    </row>
    <row r="4" spans="1:5">
      <c r="A4" s="1" t="s">
        <v>30</v>
      </c>
      <c r="C4" s="2"/>
      <c r="D4" s="2"/>
      <c r="E4" s="2"/>
    </row>
    <row r="5" spans="1:5">
      <c r="C5" s="20"/>
      <c r="D5" s="2"/>
    </row>
    <row r="6" spans="1:5">
      <c r="A6" t="s">
        <v>117</v>
      </c>
      <c r="C6" s="20">
        <v>421.5</v>
      </c>
      <c r="D6" s="2"/>
      <c r="E6" s="2">
        <f>'[2]Accruals &amp; Prepayments'!C6</f>
        <v>394.52</v>
      </c>
    </row>
    <row r="7" spans="1:5">
      <c r="A7" t="s">
        <v>106</v>
      </c>
      <c r="C7" s="20"/>
      <c r="D7" s="2"/>
      <c r="E7" s="2">
        <f>'[2]Accruals &amp; Prepayments'!C7</f>
        <v>1046.26</v>
      </c>
    </row>
    <row r="8" spans="1:5">
      <c r="A8" t="s">
        <v>105</v>
      </c>
      <c r="D8" s="2"/>
      <c r="E8" s="2">
        <f>'[2]Accruals &amp; Prepayments'!C5</f>
        <v>696.07</v>
      </c>
    </row>
    <row r="9" spans="1:5">
      <c r="A9" t="s">
        <v>111</v>
      </c>
      <c r="C9" s="20">
        <v>2452.5</v>
      </c>
      <c r="D9" s="2"/>
      <c r="E9" s="2"/>
    </row>
    <row r="10" spans="1:5" ht="15.75" thickBot="1">
      <c r="C10" s="15">
        <f>SUM(C5:C9)</f>
        <v>2874</v>
      </c>
      <c r="D10" s="2"/>
      <c r="E10" s="15">
        <f>SUM(E6:E9)</f>
        <v>2136.85</v>
      </c>
    </row>
    <row r="11" spans="1:5" ht="15.75" thickTop="1">
      <c r="C11" s="2"/>
      <c r="D11" s="2"/>
      <c r="E11" s="2"/>
    </row>
    <row r="12" spans="1:5">
      <c r="A12" s="1" t="s">
        <v>43</v>
      </c>
      <c r="C12" s="2"/>
      <c r="D12" s="2"/>
      <c r="E12" s="2"/>
    </row>
    <row r="13" spans="1:5">
      <c r="C13" s="20"/>
      <c r="D13" s="2"/>
    </row>
    <row r="14" spans="1:5">
      <c r="A14" t="s">
        <v>104</v>
      </c>
      <c r="C14" s="20">
        <v>1500</v>
      </c>
      <c r="D14" s="2"/>
      <c r="E14" s="2">
        <f>'[2]Accruals &amp; Prepayments'!C14</f>
        <v>1500</v>
      </c>
    </row>
    <row r="15" spans="1:5">
      <c r="A15" t="s">
        <v>112</v>
      </c>
      <c r="C15" s="20">
        <v>128.11000000000001</v>
      </c>
      <c r="D15" s="2"/>
    </row>
    <row r="16" spans="1:5">
      <c r="A16" t="s">
        <v>113</v>
      </c>
      <c r="C16" s="20">
        <v>63.5</v>
      </c>
      <c r="D16" s="2"/>
      <c r="E16" s="2"/>
    </row>
    <row r="17" spans="1:5">
      <c r="A17" t="s">
        <v>61</v>
      </c>
      <c r="C17" s="20"/>
      <c r="D17" s="2"/>
      <c r="E17" s="2">
        <f>'[2]Accruals &amp; Prepayments'!C15</f>
        <v>70</v>
      </c>
    </row>
    <row r="18" spans="1:5">
      <c r="A18" t="s">
        <v>44</v>
      </c>
      <c r="C18" s="20"/>
      <c r="D18" s="2"/>
      <c r="E18" s="2">
        <f>'[2]Accruals &amp; Prepayments'!C16</f>
        <v>745.17000000000007</v>
      </c>
    </row>
    <row r="19" spans="1:5">
      <c r="A19" t="s">
        <v>103</v>
      </c>
      <c r="C19" s="20"/>
      <c r="D19" s="2"/>
      <c r="E19" s="2">
        <f>'[2]Accruals &amp; Prepayments'!C13</f>
        <v>857.88</v>
      </c>
    </row>
    <row r="20" spans="1:5" ht="15.75" thickBot="1">
      <c r="C20" s="15">
        <f>SUM(C13:C19)</f>
        <v>1691.6100000000001</v>
      </c>
      <c r="D20" s="2"/>
      <c r="E20" s="15">
        <f>SUM(E14:E19)</f>
        <v>3173.05</v>
      </c>
    </row>
    <row r="21" spans="1:5" ht="15.75" thickTop="1">
      <c r="C21" s="2"/>
      <c r="D21" s="2"/>
      <c r="E21" s="2"/>
    </row>
    <row r="22" spans="1:5">
      <c r="C22" s="2"/>
      <c r="D22" s="2"/>
      <c r="E22" s="2"/>
    </row>
    <row r="23" spans="1:5">
      <c r="C23" s="2"/>
      <c r="D23" s="2"/>
      <c r="E23" s="2"/>
    </row>
    <row r="24" spans="1:5">
      <c r="C24" s="2"/>
      <c r="D24" s="2"/>
      <c r="E24" s="2"/>
    </row>
    <row r="25" spans="1:5">
      <c r="C25" s="2"/>
      <c r="D25" s="2"/>
      <c r="E25" s="2"/>
    </row>
    <row r="26" spans="1:5">
      <c r="C26" s="2"/>
      <c r="D26" s="2"/>
      <c r="E26" s="2"/>
    </row>
    <row r="27" spans="1:5">
      <c r="C27" s="2"/>
      <c r="D27" s="2"/>
      <c r="E27" s="2"/>
    </row>
    <row r="28" spans="1:5">
      <c r="C28" s="2"/>
      <c r="D28" s="2"/>
      <c r="E28" s="2"/>
    </row>
    <row r="29" spans="1:5">
      <c r="C29" s="2"/>
      <c r="D29" s="2"/>
      <c r="E29" s="2"/>
    </row>
    <row r="30" spans="1:5">
      <c r="C30" s="2"/>
      <c r="D30" s="2"/>
      <c r="E30" s="2"/>
    </row>
  </sheetData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31"/>
  <sheetViews>
    <sheetView topLeftCell="A2" workbookViewId="0">
      <selection activeCell="D26" sqref="D26"/>
    </sheetView>
  </sheetViews>
  <sheetFormatPr defaultRowHeight="15"/>
  <cols>
    <col min="1" max="1" width="2.85546875" style="25" customWidth="1"/>
    <col min="2" max="2" width="28.5703125" style="25" customWidth="1"/>
    <col min="3" max="3" width="2.85546875" style="25" customWidth="1"/>
    <col min="4" max="4" width="10.7109375" style="17" customWidth="1"/>
    <col min="5" max="5" width="11.42578125" style="17" bestFit="1" customWidth="1"/>
    <col min="6" max="6" width="2.85546875" style="17" customWidth="1"/>
    <col min="7" max="8" width="10.7109375" style="17" customWidth="1"/>
    <col min="9" max="9" width="9.140625" style="25"/>
    <col min="10" max="10" width="10.7109375" style="25" bestFit="1" customWidth="1"/>
    <col min="11" max="16384" width="9.140625" style="25"/>
  </cols>
  <sheetData>
    <row r="2" spans="1:10" s="22" customFormat="1" ht="30" customHeight="1">
      <c r="D2" s="87" t="s">
        <v>101</v>
      </c>
      <c r="E2" s="87"/>
      <c r="F2" s="23"/>
      <c r="G2" s="87" t="s">
        <v>45</v>
      </c>
      <c r="H2" s="87"/>
    </row>
    <row r="3" spans="1:10" s="22" customFormat="1">
      <c r="D3" s="23" t="s">
        <v>21</v>
      </c>
      <c r="E3" s="23" t="s">
        <v>21</v>
      </c>
      <c r="F3" s="23"/>
      <c r="G3" s="23" t="s">
        <v>21</v>
      </c>
      <c r="H3" s="23" t="s">
        <v>21</v>
      </c>
    </row>
    <row r="5" spans="1:10">
      <c r="A5" s="24" t="s">
        <v>71</v>
      </c>
      <c r="B5" s="24"/>
    </row>
    <row r="6" spans="1:10">
      <c r="B6" s="25" t="s">
        <v>23</v>
      </c>
      <c r="E6" s="17">
        <f>'Balance Sheet'!I8</f>
        <v>67579.167416666663</v>
      </c>
      <c r="H6" s="17">
        <f>'[2]Fixed Assets'!E6</f>
        <v>78441.627749999985</v>
      </c>
    </row>
    <row r="7" spans="1:10">
      <c r="B7" s="25" t="s">
        <v>24</v>
      </c>
      <c r="E7" s="18">
        <f>'Balance Sheet'!I9</f>
        <v>11805.434666666666</v>
      </c>
      <c r="H7" s="18">
        <f>'[2]Fixed Assets'!E7</f>
        <v>13139.342666666664</v>
      </c>
    </row>
    <row r="8" spans="1:10">
      <c r="B8" s="25" t="s">
        <v>25</v>
      </c>
      <c r="E8" s="18">
        <f>'Balance Sheet'!I10</f>
        <v>5755.9570833333337</v>
      </c>
      <c r="H8" s="18">
        <f>'[2]Fixed Assets'!E8</f>
        <v>6695.5943055555535</v>
      </c>
    </row>
    <row r="9" spans="1:10" s="26" customFormat="1">
      <c r="B9" s="26" t="s">
        <v>26</v>
      </c>
      <c r="D9" s="18"/>
      <c r="E9" s="18">
        <f>'Balance Sheet'!I11</f>
        <v>5971.1284999999998</v>
      </c>
      <c r="F9" s="18"/>
      <c r="G9" s="18"/>
      <c r="H9" s="18">
        <f>'[2]Fixed Assets'!E9</f>
        <v>1569.2094999999999</v>
      </c>
    </row>
    <row r="10" spans="1:10">
      <c r="B10" s="25" t="s">
        <v>42</v>
      </c>
      <c r="E10" s="19">
        <f>'Balance Sheet'!I12</f>
        <v>42846.34</v>
      </c>
      <c r="H10" s="19">
        <f>'[2]Fixed Assets'!E10</f>
        <v>42846.34</v>
      </c>
    </row>
    <row r="11" spans="1:10">
      <c r="E11" s="27">
        <f>SUM(E6:E10)</f>
        <v>133958.02766666666</v>
      </c>
      <c r="H11" s="27">
        <f>SUM(H6:H10)</f>
        <v>142692.11422222218</v>
      </c>
    </row>
    <row r="12" spans="1:10">
      <c r="A12" s="24" t="s">
        <v>68</v>
      </c>
      <c r="B12" s="24"/>
    </row>
    <row r="13" spans="1:10">
      <c r="B13" s="25" t="s">
        <v>23</v>
      </c>
      <c r="E13" s="17">
        <v>0</v>
      </c>
      <c r="H13" s="17">
        <f>'[2]Fixed Assets'!E13</f>
        <v>5820.2</v>
      </c>
      <c r="J13" s="79"/>
    </row>
    <row r="14" spans="1:10">
      <c r="B14" s="25" t="s">
        <v>24</v>
      </c>
      <c r="E14" s="17">
        <v>0</v>
      </c>
      <c r="H14" s="17">
        <f>'[2]Fixed Assets'!E14</f>
        <v>1500</v>
      </c>
    </row>
    <row r="15" spans="1:10">
      <c r="B15" s="25" t="s">
        <v>25</v>
      </c>
      <c r="E15" s="17">
        <f>[3]Equipment!$F$4+[3]Equipment!$F$31+[3]Equipment!$F$53</f>
        <v>5466.5700000000006</v>
      </c>
      <c r="H15" s="17">
        <f>'[2]Fixed Assets'!E15</f>
        <v>1663</v>
      </c>
    </row>
    <row r="16" spans="1:10" s="26" customFormat="1">
      <c r="B16" s="26" t="s">
        <v>26</v>
      </c>
      <c r="D16" s="18"/>
      <c r="E16" s="18">
        <f>[3]Premises!$F$7</f>
        <v>12549</v>
      </c>
      <c r="F16" s="18"/>
      <c r="G16" s="18"/>
      <c r="H16" s="18">
        <f>'[2]Fixed Assets'!E16</f>
        <v>14133.88</v>
      </c>
    </row>
    <row r="17" spans="1:8">
      <c r="B17" s="25" t="s">
        <v>42</v>
      </c>
      <c r="E17" s="19">
        <v>0</v>
      </c>
      <c r="H17" s="19">
        <f>'[2]Fixed Assets'!E17</f>
        <v>0</v>
      </c>
    </row>
    <row r="18" spans="1:8">
      <c r="E18" s="27">
        <f>SUM(E13:E17)</f>
        <v>18015.57</v>
      </c>
      <c r="H18" s="27">
        <f>SUM(H13:H17)</f>
        <v>23117.08</v>
      </c>
    </row>
    <row r="19" spans="1:8">
      <c r="A19" s="24" t="s">
        <v>69</v>
      </c>
    </row>
    <row r="20" spans="1:8">
      <c r="B20" s="25" t="s">
        <v>23</v>
      </c>
      <c r="D20" s="17">
        <f>[3]Boats!$N$30+[3]Boats!$N$34</f>
        <v>0</v>
      </c>
      <c r="G20" s="17">
        <f>'[2]Fixed Assets'!D20</f>
        <v>2041.85</v>
      </c>
    </row>
    <row r="21" spans="1:8">
      <c r="B21" s="25" t="s">
        <v>24</v>
      </c>
      <c r="D21" s="17">
        <v>0</v>
      </c>
      <c r="G21" s="17">
        <f>'[2]Fixed Assets'!D21</f>
        <v>0</v>
      </c>
    </row>
    <row r="22" spans="1:8">
      <c r="B22" s="25" t="s">
        <v>25</v>
      </c>
      <c r="D22" s="17">
        <f>[3]Equipment!$L$5</f>
        <v>0</v>
      </c>
      <c r="G22" s="17">
        <f>'[2]Fixed Assets'!D22</f>
        <v>955.52</v>
      </c>
    </row>
    <row r="23" spans="1:8">
      <c r="B23" s="26" t="s">
        <v>26</v>
      </c>
      <c r="D23" s="19">
        <v>0</v>
      </c>
      <c r="G23" s="19">
        <f>'[2]Fixed Assets'!D23</f>
        <v>0</v>
      </c>
    </row>
    <row r="24" spans="1:8">
      <c r="D24" s="27">
        <f>SUM(D20:D23)</f>
        <v>0</v>
      </c>
      <c r="G24" s="27">
        <f>SUM(G20:G23)</f>
        <v>2997.37</v>
      </c>
    </row>
    <row r="25" spans="1:8">
      <c r="D25" s="27"/>
      <c r="G25" s="27"/>
    </row>
    <row r="26" spans="1:8">
      <c r="A26" s="24" t="s">
        <v>62</v>
      </c>
      <c r="D26" s="27">
        <f>'P&amp;L'!E36</f>
        <v>32805.441333333321</v>
      </c>
      <c r="G26" s="27">
        <f>'P&amp;L'!H36</f>
        <v>28853.796555555513</v>
      </c>
    </row>
    <row r="28" spans="1:8" ht="15.75" thickBot="1">
      <c r="A28" s="24" t="s">
        <v>36</v>
      </c>
      <c r="E28" s="28">
        <f>E11+E18-D24-D26</f>
        <v>119168.15633333335</v>
      </c>
      <c r="H28" s="28">
        <f>H11+H18-G24-G26</f>
        <v>133958.02766666669</v>
      </c>
    </row>
    <row r="29" spans="1:8" ht="15.75" thickTop="1"/>
    <row r="30" spans="1:8" s="29" customFormat="1">
      <c r="B30" s="29" t="s">
        <v>41</v>
      </c>
      <c r="D30" s="30"/>
      <c r="E30" s="31">
        <f>E28-'Balance Sheet'!F13</f>
        <v>0</v>
      </c>
      <c r="F30" s="30"/>
      <c r="G30" s="30"/>
      <c r="H30" s="31">
        <f>H28-'Balance Sheet'!I13</f>
        <v>0</v>
      </c>
    </row>
    <row r="31" spans="1:8">
      <c r="E31" s="31">
        <f>E28-E10-[3]Control!$D$27</f>
        <v>0</v>
      </c>
    </row>
  </sheetData>
  <mergeCells count="2">
    <mergeCell ref="D2:E2"/>
    <mergeCell ref="G2:H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P&amp;L</vt:lpstr>
      <vt:lpstr>Balance Sheet</vt:lpstr>
      <vt:lpstr>Cash Flow</vt:lpstr>
      <vt:lpstr>Presentation</vt:lpstr>
      <vt:lpstr>Cash</vt:lpstr>
      <vt:lpstr>Bar</vt:lpstr>
      <vt:lpstr>Accruals &amp; Prepayments</vt:lpstr>
      <vt:lpstr>Fixed Assets</vt:lpstr>
      <vt:lpstr>'Balance Sheet'!Print_Area</vt:lpstr>
      <vt:lpstr>'Cash Flow'!Print_Area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Leonie</dc:creator>
  <cp:lastModifiedBy>Leonie</cp:lastModifiedBy>
  <cp:lastPrinted>2016-03-01T21:08:56Z</cp:lastPrinted>
  <dcterms:created xsi:type="dcterms:W3CDTF">2014-01-19T13:25:06Z</dcterms:created>
  <dcterms:modified xsi:type="dcterms:W3CDTF">2016-03-13T20:23:31Z</dcterms:modified>
</cp:coreProperties>
</file>